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worksheets/sheet37.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35" windowWidth="10635" windowHeight="9120" tabRatio="782" activeTab="0"/>
  </bookViews>
  <sheets>
    <sheet name="BOM" sheetId="1" r:id="rId1"/>
    <sheet name="LABO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s>
  <definedNames>
    <definedName name="_xlnm.Print_Area" localSheetId="0">'BOM'!$A$1:$V$97</definedName>
    <definedName name="_xlnm.Print_Titles" localSheetId="2">'1'!$1:$16</definedName>
    <definedName name="_xlnm.Print_Titles" localSheetId="11">'10'!$1:$16</definedName>
    <definedName name="_xlnm.Print_Titles" localSheetId="12">'11'!$1:$16</definedName>
    <definedName name="_xlnm.Print_Titles" localSheetId="13">'12'!$1:$16</definedName>
    <definedName name="_xlnm.Print_Titles" localSheetId="14">'13'!$1:$16</definedName>
    <definedName name="_xlnm.Print_Titles" localSheetId="15">'14'!$1:$16</definedName>
    <definedName name="_xlnm.Print_Titles" localSheetId="16">'15'!$1:$16</definedName>
    <definedName name="_xlnm.Print_Titles" localSheetId="17">'16'!$1:$16</definedName>
    <definedName name="_xlnm.Print_Titles" localSheetId="18">'17'!$1:$16</definedName>
    <definedName name="_xlnm.Print_Titles" localSheetId="19">'18'!$1:$16</definedName>
    <definedName name="_xlnm.Print_Titles" localSheetId="20">'19'!$1:$16</definedName>
    <definedName name="_xlnm.Print_Titles" localSheetId="3">'2'!$1:$16</definedName>
    <definedName name="_xlnm.Print_Titles" localSheetId="21">'20'!$1:$16</definedName>
    <definedName name="_xlnm.Print_Titles" localSheetId="22">'21'!$1:$16</definedName>
    <definedName name="_xlnm.Print_Titles" localSheetId="23">'22'!$1:$16</definedName>
    <definedName name="_xlnm.Print_Titles" localSheetId="24">'23'!$1:$16</definedName>
    <definedName name="_xlnm.Print_Titles" localSheetId="25">'24'!$1:$16</definedName>
    <definedName name="_xlnm.Print_Titles" localSheetId="26">'25'!$1:$16</definedName>
    <definedName name="_xlnm.Print_Titles" localSheetId="27">'26'!$1:$16</definedName>
    <definedName name="_xlnm.Print_Titles" localSheetId="28">'27'!$1:$16</definedName>
    <definedName name="_xlnm.Print_Titles" localSheetId="29">'28'!$1:$16</definedName>
    <definedName name="_xlnm.Print_Titles" localSheetId="30">'29'!$1:$16</definedName>
    <definedName name="_xlnm.Print_Titles" localSheetId="4">'3'!$1:$16</definedName>
    <definedName name="_xlnm.Print_Titles" localSheetId="31">'30'!$1:$16</definedName>
    <definedName name="_xlnm.Print_Titles" localSheetId="32">'31'!$1:$16</definedName>
    <definedName name="_xlnm.Print_Titles" localSheetId="33">'32'!$1:$16</definedName>
    <definedName name="_xlnm.Print_Titles" localSheetId="34">'33'!$1:$16</definedName>
    <definedName name="_xlnm.Print_Titles" localSheetId="35">'34'!$1:$16</definedName>
    <definedName name="_xlnm.Print_Titles" localSheetId="36">'35'!$1:$16</definedName>
    <definedName name="_xlnm.Print_Titles" localSheetId="5">'4'!$1:$16</definedName>
    <definedName name="_xlnm.Print_Titles" localSheetId="6">'5'!$1:$16</definedName>
    <definedName name="_xlnm.Print_Titles" localSheetId="7">'6'!$1:$16</definedName>
    <definedName name="_xlnm.Print_Titles" localSheetId="8">'7'!$1:$16</definedName>
    <definedName name="_xlnm.Print_Titles" localSheetId="9">'8'!$1:$16</definedName>
    <definedName name="_xlnm.Print_Titles" localSheetId="10">'9'!$1:$16</definedName>
    <definedName name="_xlnm.Print_Titles" localSheetId="0">'BOM'!$1:$2</definedName>
    <definedName name="_xlnm.Print_Titles" localSheetId="1">'LABOR'!$1:$6</definedName>
  </definedNames>
  <calcPr fullCalcOnLoad="1"/>
</workbook>
</file>

<file path=xl/comments2.xml><?xml version="1.0" encoding="utf-8"?>
<comments xmlns="http://schemas.openxmlformats.org/spreadsheetml/2006/main">
  <authors>
    <author> Randy Wong</author>
  </authors>
  <commentList>
    <comment ref="P6" authorId="0">
      <text>
        <r>
          <rPr>
            <b/>
            <u val="single"/>
            <sz val="8"/>
            <rFont val="Tahoma"/>
            <family val="2"/>
          </rPr>
          <t>Instructions:</t>
        </r>
        <r>
          <rPr>
            <sz val="8"/>
            <rFont val="Tahoma"/>
            <family val="2"/>
          </rPr>
          <t xml:space="preserve">
To add new rows, highlight the last occupied row and use the "AutoComplete" function to extend the table as many rows as needed.
Departments can be changed by clicking on the cell containing the header and selecting a department from the pull-down menu.
If you are getting "#REF!" errors check to make sure your worksheets are named only by the traveller number, nothing else.
</t>
        </r>
        <r>
          <rPr>
            <b/>
            <sz val="8"/>
            <rFont val="Tahoma"/>
            <family val="2"/>
          </rPr>
          <t>This worksheet only works if you name your traveller worksheets by the traveller number only (i.e. "1" or "12" not "123456-00M #1")</t>
        </r>
        <r>
          <rPr>
            <sz val="8"/>
            <rFont val="Tahoma"/>
            <family val="2"/>
          </rPr>
          <t xml:space="preserve">
Please do not edit any functions</t>
        </r>
      </text>
    </comment>
  </commentList>
</comments>
</file>

<file path=xl/sharedStrings.xml><?xml version="1.0" encoding="utf-8"?>
<sst xmlns="http://schemas.openxmlformats.org/spreadsheetml/2006/main" count="2717" uniqueCount="540">
  <si>
    <t>Work Order Number</t>
  </si>
  <si>
    <t>Part Number:</t>
  </si>
  <si>
    <t>DUE DATE</t>
  </si>
  <si>
    <t>Description:</t>
  </si>
  <si>
    <t>QTY</t>
  </si>
  <si>
    <t>Page</t>
  </si>
  <si>
    <t>Release Date:</t>
  </si>
  <si>
    <t>Date:</t>
  </si>
  <si>
    <t>Originator</t>
  </si>
  <si>
    <t>QA</t>
  </si>
  <si>
    <t>Date</t>
  </si>
  <si>
    <t>&gt;</t>
  </si>
  <si>
    <t>Documents Required</t>
  </si>
  <si>
    <t>Drawing</t>
  </si>
  <si>
    <t>Rev.</t>
  </si>
  <si>
    <t>Inspection Document</t>
  </si>
  <si>
    <t>Material Required (minimum or equivalent to):</t>
  </si>
  <si>
    <t>Oper.</t>
  </si>
  <si>
    <t>W/C</t>
  </si>
  <si>
    <t>Task</t>
  </si>
  <si>
    <t>Set-up</t>
  </si>
  <si>
    <t>Run</t>
  </si>
  <si>
    <t>Qty. Comp.</t>
  </si>
  <si>
    <t>Stamp/Int.</t>
  </si>
  <si>
    <t>Total:</t>
  </si>
  <si>
    <t>Issue Material</t>
  </si>
  <si>
    <t>QTY:</t>
  </si>
  <si>
    <t>ASSEMBLY LEVEL</t>
  </si>
  <si>
    <t>PART NO.</t>
  </si>
  <si>
    <t>DESCRIPTION</t>
  </si>
  <si>
    <t>FINISHSIZE</t>
  </si>
  <si>
    <t>TOTAL
QTY.</t>
  </si>
  <si>
    <t>MATERIAL</t>
  </si>
  <si>
    <t>DATE DUE</t>
  </si>
  <si>
    <t>TRAVELER
NO.</t>
  </si>
  <si>
    <t>MAKE/BUY</t>
  </si>
  <si>
    <t>PURCHASE STOCK SIZE PER ASSEMBLY</t>
  </si>
  <si>
    <t>COMMENTS</t>
  </si>
  <si>
    <t>FINAL INSPECTION DOCUMENT</t>
  </si>
  <si>
    <t>-</t>
  </si>
  <si>
    <t>TRAVELER</t>
  </si>
  <si>
    <t>of</t>
  </si>
  <si>
    <t>D1750-3 rev. D</t>
  </si>
  <si>
    <t>PO#</t>
  </si>
  <si>
    <t>MATERIAL
DUE BY</t>
  </si>
  <si>
    <t>Totals
per dept.</t>
  </si>
  <si>
    <t>WORK CENTER CODES</t>
  </si>
  <si>
    <t>DEPT:</t>
  </si>
  <si>
    <t>MACHINE</t>
  </si>
  <si>
    <t>WELD</t>
  </si>
  <si>
    <t>DETAIL</t>
  </si>
  <si>
    <t>ASSEMBLY</t>
  </si>
  <si>
    <t>WATERJET</t>
  </si>
  <si>
    <t>SAW
CUT</t>
  </si>
  <si>
    <t>R/I</t>
  </si>
  <si>
    <t>INSPECTION</t>
  </si>
  <si>
    <t>PACKAGING</t>
  </si>
  <si>
    <t>SUPPLY
CHAIN</t>
  </si>
  <si>
    <t>INDIRECT
MISC.</t>
  </si>
  <si>
    <t>TRAINING</t>
  </si>
  <si>
    <t>GENERAL
HELPER</t>
  </si>
  <si>
    <t>CODE:</t>
  </si>
  <si>
    <t>WORK ORDER</t>
  </si>
  <si>
    <t>Set-up
Total</t>
  </si>
  <si>
    <t>Run
Total</t>
  </si>
  <si>
    <t>Total By 
Work Order:</t>
  </si>
  <si>
    <t>Description</t>
  </si>
  <si>
    <t>Move to NHA</t>
  </si>
  <si>
    <t>ROLL-UP, .250 WALL, 84.00"ID, 112.00 LG</t>
  </si>
  <si>
    <t>STIFFENER, 1/3, PLAIN, MC TUBE</t>
  </si>
  <si>
    <t>STIFFENER, LIFTING, MC TUBES</t>
  </si>
  <si>
    <t>PLT, .88 THK, 25.16 WD, 78.5 LG</t>
  </si>
  <si>
    <t>STIFFENER, THICK, MC TUBES</t>
  </si>
  <si>
    <t>PLT, .88 THK,  24.16WD, 78.5 LG</t>
  </si>
  <si>
    <t xml:space="preserve">WELDMENT, BRACKET, MC TUBE </t>
  </si>
  <si>
    <t>PLATE, TOP, BRACKET, MC STAND</t>
  </si>
  <si>
    <t>PLT, .50 THK, 5.00 WD, 5.00 LG</t>
  </si>
  <si>
    <t>PLATE, SIDE, BRACKET, MC STAND</t>
  </si>
  <si>
    <t>PLT, .50 THK, 5.00 WD, 5.50 LG</t>
  </si>
  <si>
    <t>PORT, 12" OD CONFLAT, NR, THRU HOLES</t>
  </si>
  <si>
    <t>TUBE, PORT, 12" CF</t>
  </si>
  <si>
    <t>TUBE, 10.00 OD, .25 WALL, 5.11 LG</t>
  </si>
  <si>
    <t>WELDMENT, BELLOWS SUBASSEMBLY</t>
  </si>
  <si>
    <t>BELLOWS, 60.50 ID</t>
  </si>
  <si>
    <t>TBD</t>
  </si>
  <si>
    <t>LIFTING EYE, TIE ROD, LIGO</t>
  </si>
  <si>
    <t>PLT, .38 THK, 4.00 WD, 8.00 LG</t>
  </si>
  <si>
    <t>MOUNT, TIE ROD, MC TUBES</t>
  </si>
  <si>
    <t>BEAM, BOX, .50 THK, 6.00 WD, 8.00 HI, 5.00 LG</t>
  </si>
  <si>
    <t>ROLL-UP, MC BELLOWS NIPPLES</t>
  </si>
  <si>
    <t>ROLL-UP, .25 WALL, 60.63 ID, 20.94 LG</t>
  </si>
  <si>
    <t>PLATE, BACKING, NUT, SMALL,</t>
  </si>
  <si>
    <t>PLATE, .25 THK, 2.50 WD, 4.00 LG</t>
  </si>
  <si>
    <t>PLATE, BACKING NUT</t>
  </si>
  <si>
    <t>PLATE, 1.00 WD, 3.00 WD, 5.00 LG</t>
  </si>
  <si>
    <t>PORT, CONFLAT, 10", 4.84 LONG</t>
  </si>
  <si>
    <t xml:space="preserve"> </t>
  </si>
  <si>
    <t>91525A145</t>
  </si>
  <si>
    <t>(McM) WASHER, FENDER, 1/2 NOM ID, 1.5" OD</t>
  </si>
  <si>
    <t>G-1000</t>
  </si>
  <si>
    <t>(NORCAL) GASKET, COPPER, 10" CF</t>
  </si>
  <si>
    <t>G-1200</t>
  </si>
  <si>
    <t>(NORCAL) GASKET, COPPER, 12" CF</t>
  </si>
  <si>
    <t>1200-000N</t>
  </si>
  <si>
    <t>(NORCAL) BLANK, CF, 12" OD</t>
  </si>
  <si>
    <t>1000-000N</t>
  </si>
  <si>
    <t>(NORCAL) BLANK, CF, 10" OD</t>
  </si>
  <si>
    <t>MEMBER, VERTICAL, STAND, MC TUBES</t>
  </si>
  <si>
    <t>TUBE, SQR, 5.00 X 5.00 OD, .50 WALL, 63.06 LG</t>
  </si>
  <si>
    <t>PLATE, FOOT, MC-TUBE STAND</t>
  </si>
  <si>
    <t>PLT, 1.00 THK, 10.00 WD, 10.00 LG</t>
  </si>
  <si>
    <t>PLATE, BOLT, STAND, MC TUBES</t>
  </si>
  <si>
    <t>PLT, 1.5 THK, 5.00 WD, 5.00 LG</t>
  </si>
  <si>
    <t>114204-00S</t>
  </si>
  <si>
    <t>114205-00S</t>
  </si>
  <si>
    <t>114206-00S</t>
  </si>
  <si>
    <t>114207-00WS</t>
  </si>
  <si>
    <t>114208-00S</t>
  </si>
  <si>
    <t>114209-00S</t>
  </si>
  <si>
    <t>114214-00WS</t>
  </si>
  <si>
    <t>114215-00S</t>
  </si>
  <si>
    <t>1200-1000N</t>
  </si>
  <si>
    <t>114222-00WS</t>
  </si>
  <si>
    <t>114225-00S</t>
  </si>
  <si>
    <t>114227-00S</t>
  </si>
  <si>
    <t>114226-00S</t>
  </si>
  <si>
    <t>114224-00S</t>
  </si>
  <si>
    <t>114233-00S</t>
  </si>
  <si>
    <t>114232-00S</t>
  </si>
  <si>
    <t>114260-00WS</t>
  </si>
  <si>
    <t>114238-00M</t>
  </si>
  <si>
    <t>114246-00M</t>
  </si>
  <si>
    <t>114244-00M</t>
  </si>
  <si>
    <t>114223-00SL</t>
  </si>
  <si>
    <t>FORGING, 2.25 THK, 61.25 ID, 84.00 OD</t>
  </si>
  <si>
    <t>FORGING, 2.06 THK, 61.25 ID, 84.00 OD</t>
  </si>
  <si>
    <t>AISI 304/AISI 304L DUAL CERTIFIED PER ASME SPEC SA-240</t>
  </si>
  <si>
    <t>AISI 304L PER SA-182 GRADE F; MAX SULFUR CONTENT .006%</t>
  </si>
  <si>
    <t xml:space="preserve">OFHC </t>
  </si>
  <si>
    <t>ASTM A36 STEEL</t>
  </si>
  <si>
    <t>1000-800N</t>
  </si>
  <si>
    <t>(NORCAL) FLANGE, CONFLAT, 10", NR, THRU</t>
  </si>
  <si>
    <t>TUBE, 8.00 OD, .25 WALL, 4.34 LG</t>
  </si>
  <si>
    <t>PLT, .25 THK, 192.05 WD, 20.94 LG</t>
  </si>
  <si>
    <t>(NORCAL) FLANGE, CONFLAT, 12" OD, NON-ROTATABLE, THRU HOLES</t>
  </si>
  <si>
    <t>B</t>
  </si>
  <si>
    <t>M</t>
  </si>
  <si>
    <t>PLT, .38 THK, 24.12 WD, 78.5 LG</t>
  </si>
  <si>
    <t>PLT, .38 THK, 24.37 WD, 78.75 LG</t>
  </si>
  <si>
    <t>PLT, .88 THK, 25.41 WD, 78.75 LG</t>
  </si>
  <si>
    <t>PLT, .88 THK,  24.41WD, 78.75 LG</t>
  </si>
  <si>
    <t>PLT, .50 THK, 5.25 WD, 5.25 LG</t>
  </si>
  <si>
    <t>PLT, .50 THK, 5.25 WD, 5.75 LG</t>
  </si>
  <si>
    <t>PLT, .88 THK,  24.41 WD, 78.75 LG</t>
  </si>
  <si>
    <t>TUBE, 10.00 OD, .25 WALL, 5.75 LG</t>
  </si>
  <si>
    <t>PLT, .38 THK, 4.00 WD, 8.50 LG</t>
  </si>
  <si>
    <t>BEAM, BOX, .50 THK, 6.00 WD, 8.00 HI, 6.00 LG</t>
  </si>
  <si>
    <t>TUBE, SQR, 5.00 X 5.00 OD, .50 WALL, 63.25 LG</t>
  </si>
  <si>
    <t>PLT, 1.00 THK, 10.25 WD, 10.25 LG</t>
  </si>
  <si>
    <t>PLT, 1.5 THK, 5.25 WD, 5.25 LG</t>
  </si>
  <si>
    <t>MKM2</t>
  </si>
  <si>
    <t xml:space="preserve">Saw cut tube to length per print.  Follow the  </t>
  </si>
  <si>
    <t xml:space="preserve">applicable sections of QP1730-10, CCP.  </t>
  </si>
  <si>
    <t xml:space="preserve">Inspect tacked assy and verify dims and </t>
  </si>
  <si>
    <t>orientation of the flange</t>
  </si>
  <si>
    <r>
      <t xml:space="preserve">Weld the assy. per QP1730-10 </t>
    </r>
    <r>
      <rPr>
        <sz val="11"/>
        <color indexed="8"/>
        <rFont val="Calibri"/>
        <family val="2"/>
      </rPr>
      <t>§6 and QP1750-W2</t>
    </r>
  </si>
  <si>
    <t>Inspect and verify that the assy. is welded correctly</t>
  </si>
  <si>
    <t>Fit up the tube  into the flange (1000-800N)</t>
  </si>
  <si>
    <t>and orient per the print.  Tack in place</t>
  </si>
  <si>
    <t xml:space="preserve">Receive 114231-00S.  Verify that component meets </t>
  </si>
  <si>
    <t>with all requirements</t>
  </si>
  <si>
    <t>Move material to VTL</t>
  </si>
  <si>
    <t xml:space="preserve">Clean each side of the flange with a minimum cut </t>
  </si>
  <si>
    <t>to ensure flatness and parallellism of sides.</t>
  </si>
  <si>
    <r>
      <t>Machine per QP1730-10</t>
    </r>
    <r>
      <rPr>
        <sz val="11"/>
        <color indexed="8"/>
        <rFont val="Calibri"/>
        <family val="2"/>
      </rPr>
      <t>§</t>
    </r>
    <r>
      <rPr>
        <sz val="11"/>
        <color indexed="8"/>
        <rFont val="Arial"/>
        <family val="2"/>
      </rPr>
      <t>4 and QP1750-M1</t>
    </r>
  </si>
  <si>
    <t xml:space="preserve">Machine step in back side of flange (3/8 deep, </t>
  </si>
  <si>
    <t>61.14 OD) and 1/8 x 45 chamfer per print</t>
  </si>
  <si>
    <t>Move material to TOS</t>
  </si>
  <si>
    <t>Machine bolt holes, pump out grooves per print</t>
  </si>
  <si>
    <t xml:space="preserve">Machine o-ring groove, pump out groove, </t>
  </si>
  <si>
    <t xml:space="preserve">per print.  Finish face to 63rms.  All cuts </t>
  </si>
  <si>
    <t>to be a single point tool cut concentric</t>
  </si>
  <si>
    <t xml:space="preserve">to the flange center. </t>
  </si>
  <si>
    <t>Inspect flange to print. Verify that all QC codes have</t>
  </si>
  <si>
    <t xml:space="preserve">been followed. </t>
  </si>
  <si>
    <t xml:space="preserve">RECEIVE AND INSPECT ROLL-UP TO VERIFY </t>
  </si>
  <si>
    <t>THAT THE SPECS ARE MET</t>
  </si>
  <si>
    <t xml:space="preserve">INSERT A "SPIDER" OR OTHER FIXTURE TO </t>
  </si>
  <si>
    <t>MAINTAIN ROUNDNESS DURING MACHINING</t>
  </si>
  <si>
    <t>MOVE THE ROLL-UP TO THE VTL</t>
  </si>
  <si>
    <t xml:space="preserve">MACHINE END OF ROLL-UP TO PRINT. </t>
  </si>
  <si>
    <r>
      <t>MACHINE PER QP1730-10</t>
    </r>
    <r>
      <rPr>
        <sz val="11"/>
        <color indexed="8"/>
        <rFont val="Calibri"/>
        <family val="2"/>
      </rPr>
      <t>§4</t>
    </r>
    <r>
      <rPr>
        <sz val="11"/>
        <color indexed="8"/>
        <rFont val="Arial"/>
        <family val="2"/>
      </rPr>
      <t>, QP1750-M1</t>
    </r>
  </si>
  <si>
    <t>REMOVE SPIDER</t>
  </si>
  <si>
    <t>INSPECT ROLL-UP TO PRINT</t>
  </si>
  <si>
    <t xml:space="preserve">PACKAGE PER ASTM A-700 </t>
  </si>
  <si>
    <t>SHIP ROLL-UP TO HYSPAN FOR NHA</t>
  </si>
  <si>
    <t>meets with all requirements</t>
  </si>
  <si>
    <t xml:space="preserve">Receive 114223-00SL.  Verify that component  </t>
  </si>
  <si>
    <t>Machine chamfers on outside of flange</t>
  </si>
  <si>
    <t>Move flange to TOS</t>
  </si>
  <si>
    <t>Machine port holes, clean up ID</t>
  </si>
  <si>
    <t>Inspect and Verify that the assy is welded correctly</t>
  </si>
  <si>
    <t>Weld the assy per QP1730-10§6 and QP1750-W2</t>
  </si>
  <si>
    <t xml:space="preserve">Clean the welding rod and surfaces to be welded </t>
  </si>
  <si>
    <t xml:space="preserve">with CO2 scrubbing. </t>
  </si>
  <si>
    <t>QP1730-10</t>
  </si>
  <si>
    <t>QP1750-W2</t>
  </si>
  <si>
    <t>Contamination Control Plan</t>
  </si>
  <si>
    <t>LIGO Welding and Repair Procedure</t>
  </si>
  <si>
    <t xml:space="preserve">Issue Material, ensure that CMTRs accompany </t>
  </si>
  <si>
    <t>material</t>
  </si>
  <si>
    <t xml:space="preserve">Fit the bellows sub assy (114222-00WS) into the </t>
  </si>
  <si>
    <t>step of the 60.50" ID flange (114230-00S) and tack</t>
  </si>
  <si>
    <t xml:space="preserve">Fit the other end of the bellows sub assy into the </t>
  </si>
  <si>
    <t>reducer plate (114223-00S) .  Adjust the location</t>
  </si>
  <si>
    <t>to achieve the 46.00 total length of the weldment</t>
  </si>
  <si>
    <t>Inspect the fit, orientation, and length of the tacked</t>
  </si>
  <si>
    <t xml:space="preserve">assy to the print.  </t>
  </si>
  <si>
    <t xml:space="preserve">Fully weld the assembly per the print, following </t>
  </si>
  <si>
    <r>
      <t>QP1750-W2 and QP1730-10</t>
    </r>
    <r>
      <rPr>
        <sz val="11"/>
        <color indexed="8"/>
        <rFont val="Calibri"/>
        <family val="2"/>
      </rPr>
      <t>§</t>
    </r>
    <r>
      <rPr>
        <sz val="7.7"/>
        <color indexed="8"/>
        <rFont val="Arial"/>
        <family val="2"/>
      </rPr>
      <t>6</t>
    </r>
  </si>
  <si>
    <t xml:space="preserve">Inspect final welding of assy.  Verify that all </t>
  </si>
  <si>
    <t xml:space="preserve">cleanliness procedures were followed.  </t>
  </si>
  <si>
    <t>PLATE, BRACKET, BRACE</t>
  </si>
  <si>
    <t>Using tooling &amp; coolant approved per QP1730-10</t>
  </si>
  <si>
    <t>Inspect machined tube to print</t>
  </si>
  <si>
    <t>machine tube end to print</t>
  </si>
  <si>
    <t xml:space="preserve">Fit up the tube (114215-00S) into the flange </t>
  </si>
  <si>
    <t>(1200-1000N) and orient per the print.  Tack in place</t>
  </si>
  <si>
    <t xml:space="preserve">Receive 114213-00S.  Verify that component meets </t>
  </si>
  <si>
    <t>84.515 OD) and 1/8 x 45 chamfer per print</t>
  </si>
  <si>
    <t>114427-00S</t>
  </si>
  <si>
    <t xml:space="preserve">Saw cut length, angle cut, to print. </t>
  </si>
  <si>
    <t>Follow provisions of QP1730-10</t>
  </si>
  <si>
    <t xml:space="preserve">Saw cut length to print. </t>
  </si>
  <si>
    <t>Machine chamfer along one edge per print</t>
  </si>
  <si>
    <t>Machine slots through plate per print</t>
  </si>
  <si>
    <t>Machine chamfer per print</t>
  </si>
  <si>
    <t>Scrub weld wire and surfaces to be welded with CO2</t>
  </si>
  <si>
    <t>Fit plates together per the print and tack in place</t>
  </si>
  <si>
    <t>Verify that plates are located correctly</t>
  </si>
  <si>
    <t>Fully weld assy. per print</t>
  </si>
  <si>
    <t>Follow QP1730-10 and QP1750-W2</t>
  </si>
  <si>
    <t>Inspect weldment to the print</t>
  </si>
  <si>
    <t>Water jet the shape of the stiffener from the plate</t>
  </si>
  <si>
    <t>Inspect Stiffener to the print</t>
  </si>
  <si>
    <t>material. Verify stamping per prints</t>
  </si>
  <si>
    <t>Fit parts together per the print and tack in place</t>
  </si>
  <si>
    <t>Verify that all parts are located correctly</t>
  </si>
  <si>
    <t>Move 114211-00WS from clean weld room to TOS</t>
  </si>
  <si>
    <t>On the end of the tube with a stiffener close to the</t>
  </si>
  <si>
    <t>end, machine in a chamfer per QP1730-10</t>
  </si>
  <si>
    <t>and QP1750-M1</t>
  </si>
  <si>
    <t>Turn the tube around and machine the total length</t>
  </si>
  <si>
    <t xml:space="preserve">of the tube to the print. </t>
  </si>
  <si>
    <t xml:space="preserve">Rotate the tube and machine the thru holes </t>
  </si>
  <si>
    <t>per the print per QP1730-10 and QP1750-M1</t>
  </si>
  <si>
    <t>Inspect the tube per the print</t>
  </si>
  <si>
    <t>Clean, Package, and move to Suite 200 for NHA</t>
  </si>
  <si>
    <t>Gather all components in the LIGO welding room</t>
  </si>
  <si>
    <t xml:space="preserve">Ensure all CMTRs accompany material, and handle </t>
  </si>
  <si>
    <t>per QP1730-10</t>
  </si>
  <si>
    <t>Clean all weld wire and surfaces to be welded</t>
  </si>
  <si>
    <t>with CO2 scrubbing</t>
  </si>
  <si>
    <t>Use "spider" fixtures to maintain roundness. Fit up</t>
  </si>
  <si>
    <t>and align the two tubes and tack in place</t>
  </si>
  <si>
    <t>Fit up the flange oriented per the print and tack</t>
  </si>
  <si>
    <t xml:space="preserve">in place. </t>
  </si>
  <si>
    <t xml:space="preserve">Using a crane, position and orient the bellows </t>
  </si>
  <si>
    <t xml:space="preserve">weldment per the print. </t>
  </si>
  <si>
    <t xml:space="preserve">Measure and locate the position of the ports </t>
  </si>
  <si>
    <t xml:space="preserve">Inspect the assembled weldment per the print.  </t>
  </si>
  <si>
    <t>Weld the tube together, starting with the tube seam</t>
  </si>
  <si>
    <t xml:space="preserve">then the flanges, bellows, and ports. </t>
  </si>
  <si>
    <t>Clean per QP1730-10</t>
  </si>
  <si>
    <t xml:space="preserve">QP1730-10 </t>
  </si>
  <si>
    <t>QP1750-A7</t>
  </si>
  <si>
    <t>Leak Test Procedure</t>
  </si>
  <si>
    <t>QP1750-D2</t>
  </si>
  <si>
    <t>Final Cleaning Procedure</t>
  </si>
  <si>
    <t>QP1750-R5</t>
  </si>
  <si>
    <t>Visible and UV Inspection Procedure</t>
  </si>
  <si>
    <t>QP1750-A3</t>
  </si>
  <si>
    <t>Cleanliness Testing Procedure</t>
  </si>
  <si>
    <t>QP1750-A6</t>
  </si>
  <si>
    <t>Bakeout procedure</t>
  </si>
  <si>
    <t>QP1750-A5</t>
  </si>
  <si>
    <t>RGA Test Procedure</t>
  </si>
  <si>
    <t>QP1750-R6</t>
  </si>
  <si>
    <t>Shipping Procedure</t>
  </si>
  <si>
    <t>114146-00ID</t>
  </si>
  <si>
    <t xml:space="preserve">Steam clean components </t>
  </si>
  <si>
    <t>Move all components to Class 8 clean room</t>
  </si>
  <si>
    <t>Inspect weldment and engrave tube if it passes</t>
  </si>
  <si>
    <t>Leak check per QP1750-A7</t>
  </si>
  <si>
    <t>O-Rings provided by LIGO</t>
  </si>
  <si>
    <t>AR</t>
  </si>
  <si>
    <t>Assemble for leak check</t>
  </si>
  <si>
    <t>Move to Class 5 clean room for final cleaning</t>
  </si>
  <si>
    <t>Inspect with visible and UV inspection per QP1750-R5</t>
  </si>
  <si>
    <t>Inspect for cleanliness QP1750-R5</t>
  </si>
  <si>
    <t>Perform cleanliness testing per QP1750-A3</t>
  </si>
  <si>
    <t xml:space="preserve">Disassemble blanks and port covers and clean </t>
  </si>
  <si>
    <t>per QP1750-D2</t>
  </si>
  <si>
    <t>Gather all parts for inspection and cleaning</t>
  </si>
  <si>
    <t>Assemble chamber to stand and bolt down tightly</t>
  </si>
  <si>
    <t>Assemble all covers per the print</t>
  </si>
  <si>
    <t>Move the chamber to the Class 5 bakeout room</t>
  </si>
  <si>
    <t xml:space="preserve">Connect applicable pumps, test equipment, and </t>
  </si>
  <si>
    <t>gauges</t>
  </si>
  <si>
    <t xml:space="preserve">Helium leak check per QP1750-A7, </t>
  </si>
  <si>
    <t>RGA test per QP1750-A5</t>
  </si>
  <si>
    <t>Bakeout per QP1750-A6</t>
  </si>
  <si>
    <t xml:space="preserve">Perform a final investigation and assemble </t>
  </si>
  <si>
    <t>applicable paperwork</t>
  </si>
  <si>
    <t>Package tube for shipping per QP1750-R6</t>
  </si>
  <si>
    <t>Tack bolt plates into v. members per print</t>
  </si>
  <si>
    <t>Tack vertical members to foot plates per print</t>
  </si>
  <si>
    <t>Weld per QP1730-10 and QP1750-W2</t>
  </si>
  <si>
    <t>Inspect assembly per print</t>
  </si>
  <si>
    <t>Full weld assy per print</t>
  </si>
  <si>
    <t>Machine and tap holes into tube per print</t>
  </si>
  <si>
    <t>Rotate tube and machine bolt holes per print</t>
  </si>
  <si>
    <t>Machine bolt holes per print</t>
  </si>
  <si>
    <t>Machine step and chamfer on partper print</t>
  </si>
  <si>
    <t>Last Updated: MKM2 07-22-2010</t>
  </si>
  <si>
    <r>
      <rPr>
        <b/>
        <sz val="12"/>
        <color indexed="8"/>
        <rFont val="Arial"/>
        <family val="2"/>
      </rPr>
      <t>SINGLE SOURCE: HYSPAN</t>
    </r>
    <r>
      <rPr>
        <sz val="12"/>
        <color indexed="8"/>
        <rFont val="Arial"/>
        <family val="2"/>
      </rPr>
      <t xml:space="preserve">! </t>
    </r>
    <r>
      <rPr>
        <b/>
        <sz val="12"/>
        <color indexed="8"/>
        <rFont val="Arial"/>
        <family val="2"/>
      </rPr>
      <t xml:space="preserve">CMTRS REQUIRED FOR ALL COMPONENTS!  </t>
    </r>
    <r>
      <rPr>
        <sz val="12"/>
        <color indexed="8"/>
        <rFont val="Arial"/>
        <family val="2"/>
      </rPr>
      <t>APPLY THE FOLLOWING: ASTM A-480, ASTM A-700, LIGO DOCUMENT E0900439 (LATEST VERSION), QC 108</t>
    </r>
    <r>
      <rPr>
        <sz val="12"/>
        <color indexed="8"/>
        <rFont val="Calibri"/>
        <family val="2"/>
      </rPr>
      <t>§1.1 (BUY AMERICAN), QC109 (NON-ESCORT &amp; INSPECTION RIGHT), QC 114(QA PROCUREMENT LEVEL 1), AND QP1730-10 §3.  QC MUST SIGN OFF ON ALL POs BEFOR PURCHASING</t>
    </r>
  </si>
  <si>
    <r>
      <rPr>
        <b/>
        <sz val="12"/>
        <color indexed="8"/>
        <rFont val="Arial"/>
        <family val="2"/>
      </rPr>
      <t xml:space="preserve">SINGLE SOURCE: A.M. CASTLE &amp; CO.! CMTRS REQUIRED FOR ALL MATERIAL! DROP SHIP MATERIAL FROM A.M. CASTLE &amp; CO TO NORCAL METAL FABRICATORS! </t>
    </r>
    <r>
      <rPr>
        <sz val="12"/>
        <color indexed="8"/>
        <rFont val="Arial"/>
        <family val="2"/>
      </rPr>
      <t>APPLY THE FOLLOWING: ASTM A-480, ASTM A-700, QC 108</t>
    </r>
    <r>
      <rPr>
        <sz val="12"/>
        <color indexed="8"/>
        <rFont val="Calibri"/>
        <family val="2"/>
      </rPr>
      <t xml:space="preserve">§1.1 (BUY AMERICAN), QC109 (NON-ESCORT &amp; INSPECTION RIGHT), QC126(QA PROCUREMENT LEVEL 2), AND QP1730-10 §3. VENDOR TO SUPPLY A 2X12" COUPON FROM THE SAME HEAT LOT AS THIS PIECE.  QC MUST SIGN OFF ON PO BEFORE ORDERING. </t>
    </r>
  </si>
  <si>
    <r>
      <rPr>
        <b/>
        <sz val="12"/>
        <color indexed="8"/>
        <rFont val="Arial"/>
        <family val="2"/>
      </rPr>
      <t>CMTRs REQUIRED FOR ALL MATERIAL</t>
    </r>
    <r>
      <rPr>
        <sz val="12"/>
        <color indexed="8"/>
        <rFont val="Arial"/>
        <family val="2"/>
      </rPr>
      <t>! APPLY THE FOLLOWING: ASTM A-480, ASTM A-700, QC 108§1.1 (BUY AMERICAN), QC109 (NON-ESCORT &amp; INSPECTION RIGHT), QC126(QA PROCUREMENT LEVEL 2), AND QP1730-10 §3. QC MUST SIGN OFF ON POs PRIOR TO ORDERING.</t>
    </r>
  </si>
  <si>
    <r>
      <rPr>
        <b/>
        <sz val="12"/>
        <color indexed="8"/>
        <rFont val="Arial"/>
        <family val="2"/>
      </rPr>
      <t>CMTRs REQUIRED FOR ALL MATERIAL</t>
    </r>
    <r>
      <rPr>
        <sz val="12"/>
        <color indexed="8"/>
        <rFont val="Arial"/>
        <family val="2"/>
      </rPr>
      <t>! APPLY THE FOLLOWING: ASTM A-480, ASTM A-700, QC 108§1.1 (BUY AMERICAN), QC109 (NON-ESCORT &amp; INSPECTION RIGHT), AND QP1730-10 §3. QC MUST SIGN OFF ON POs PRIOR TO ORDERING.</t>
    </r>
  </si>
  <si>
    <r>
      <rPr>
        <b/>
        <sz val="12"/>
        <color indexed="8"/>
        <rFont val="Arial"/>
        <family val="2"/>
      </rPr>
      <t xml:space="preserve">SINGLE SOURCE: NORCAL METAL FABRICATORS!   </t>
    </r>
    <r>
      <rPr>
        <sz val="12"/>
        <color indexed="8"/>
        <rFont val="Arial"/>
        <family val="2"/>
      </rPr>
      <t>APPLY THE FOLLOWING: ASTM A-480, ASTM A-700, QC 108</t>
    </r>
    <r>
      <rPr>
        <sz val="12"/>
        <color indexed="8"/>
        <rFont val="Calibri"/>
        <family val="2"/>
      </rPr>
      <t>§1.1 (BUY AMERICAN), QC109 (NON-ESCORT &amp; INSPECTION RIGHT), QC126(QA PROCUREMENT LEVEL 2), QC MUST SIGN OFF POs BEFORE ORDERING IS PLACED , AND QP1730-10 §3.</t>
    </r>
  </si>
  <si>
    <r>
      <rPr>
        <b/>
        <sz val="12"/>
        <color indexed="8"/>
        <rFont val="Arial"/>
        <family val="2"/>
      </rPr>
      <t xml:space="preserve">SINGLE SOURCE: NORCAL METAL FABRICATORS!   </t>
    </r>
    <r>
      <rPr>
        <sz val="12"/>
        <color indexed="8"/>
        <rFont val="Arial"/>
        <family val="2"/>
      </rPr>
      <t>APPLY THE FOLLOWING: ASTM A-480, ASTM A-700, QC 108</t>
    </r>
    <r>
      <rPr>
        <sz val="12"/>
        <color indexed="8"/>
        <rFont val="Calibri"/>
        <family val="2"/>
      </rPr>
      <t xml:space="preserve">§1.1 (BUY AMERICAN), QC109 (NON-ESCORT &amp; INSPECTION RIGHT), QC126(QA PROCUREMENT LEVEL 2), QC MUST SIGN OFF ON POs BEFORE ORDERING, AND QP1730-10 §3.   </t>
    </r>
    <r>
      <rPr>
        <b/>
        <sz val="12"/>
        <color indexed="8"/>
        <rFont val="Calibri"/>
        <family val="2"/>
      </rPr>
      <t>GNB TO MACHINE ENDS OF ROLL-UP THEN PROVIDE COMPONENTS TO HYSPAN FOR NEXT LEVEL ASSY.</t>
    </r>
  </si>
  <si>
    <t>114145-00</t>
  </si>
  <si>
    <t>OUTLINE, LAMCA#1</t>
  </si>
  <si>
    <t>114248-00WS</t>
  </si>
  <si>
    <t>WELDMENT, MC-A TUBE</t>
  </si>
  <si>
    <t>114247-00S</t>
  </si>
  <si>
    <t>ASSEMBLY,WAMCA</t>
  </si>
  <si>
    <t>ROLL-UP, MC-A TUBES</t>
  </si>
  <si>
    <t>WELDMENT, TUBE, RIGHT, MCA TUBE</t>
  </si>
  <si>
    <t>WELDMENT, NIPPLE, BELLOWS, MCA TUBE</t>
  </si>
  <si>
    <t>114386-00WM</t>
  </si>
  <si>
    <t>114249-00S</t>
  </si>
  <si>
    <t>TUBE, LEFT, MCA TUBE</t>
  </si>
  <si>
    <t>114250-00WS</t>
  </si>
  <si>
    <t>WELDMENT, TUBE, LEFT, MCA</t>
  </si>
  <si>
    <t>ROLL-UP, MCA TUBES</t>
  </si>
  <si>
    <t>114203-01S</t>
  </si>
  <si>
    <t>ROLL-UP, .250 WALL, 84.00"ID, 112.25 LG</t>
  </si>
  <si>
    <t>PLT, .25 THK, 112.25WD, 265.33LG</t>
  </si>
  <si>
    <t>114251-00S</t>
  </si>
  <si>
    <t xml:space="preserve">TUBE, RIGHT, MCA TUBE </t>
  </si>
  <si>
    <t>114252-00WS</t>
  </si>
  <si>
    <t>114253-00S</t>
  </si>
  <si>
    <t>FLANGE, 84"ID, FLAT FACED</t>
  </si>
  <si>
    <t>114254-00S</t>
  </si>
  <si>
    <t>FORGING, FLANGE, 84" ID, 92.25 OD, 1.38 THK</t>
  </si>
  <si>
    <t>FORGING, 1.38 THK, 84.00 ID, 92.25 OD</t>
  </si>
  <si>
    <t>114255-00WS</t>
  </si>
  <si>
    <t>PLATE, REDUCER, WMCA#1</t>
  </si>
  <si>
    <t>114223-04S</t>
  </si>
  <si>
    <t>114258-00S</t>
  </si>
  <si>
    <t xml:space="preserve">FLANGE, 60.50 ID, FLAT FACED </t>
  </si>
  <si>
    <t>114259-00S</t>
  </si>
  <si>
    <t>FORGING, FLANGE, 1.38 THK, 60.50 ID, 68.50 OD</t>
  </si>
  <si>
    <t>FORGING, 1.38 THK, 60.50 ID, 68.50 OD</t>
  </si>
  <si>
    <t>114259-00S FORGING, 1.38 THK, 60.50 ID, 68.50 OD</t>
  </si>
  <si>
    <t>114203-01S ROLL-UP, .250 WALL, 84.00"ID, 112.25 LG</t>
  </si>
  <si>
    <t>114254-00S FORGING, 1.38 THK, 84.00 ID, 92.25 OD</t>
  </si>
  <si>
    <t>114223-00SL FORGING, 2.06 THK, 61.25 ID, 84.00 OD</t>
  </si>
  <si>
    <t>114224-00S ROLL-UP, .25 WALL, 60.63 ID, 20.94 LG</t>
  </si>
  <si>
    <t>114261-00WS</t>
  </si>
  <si>
    <t>PORT, CF, 10" NOM ID</t>
  </si>
  <si>
    <t>114378-00S</t>
  </si>
  <si>
    <t xml:space="preserve">TUBE, PORT, 10" CF </t>
  </si>
  <si>
    <t>TUBE, .25 WALL, 8.00 OD, 5.54LG</t>
  </si>
  <si>
    <t>TUBE, .25 WALL, 8.00 OD, 5.75LG</t>
  </si>
  <si>
    <t>(NORCAL) FLANGE, CONFLAT, 10" OD, NR, THRU HOLES</t>
  </si>
  <si>
    <t>WASHER, LOCK, 1/2" NOM ID</t>
  </si>
  <si>
    <t>WELDMENT, MCA STAND, SINGLE SUPPORT</t>
  </si>
  <si>
    <t xml:space="preserve">Fit up the tube (114378-00S) into the flange </t>
  </si>
  <si>
    <t>(1000-800N) and orient per the print.  Tack in place</t>
  </si>
  <si>
    <t>per the print. Tack in place</t>
  </si>
  <si>
    <t>114435-00S</t>
  </si>
  <si>
    <t xml:space="preserve">TUBE, 10" CF, MC TUBE </t>
  </si>
  <si>
    <t>TUBE, 8.00 OD, .25 WALL, 4.28 LG</t>
  </si>
  <si>
    <t>W03467</t>
  </si>
  <si>
    <t>W03467/1</t>
  </si>
  <si>
    <t>W03467/2</t>
  </si>
  <si>
    <t>W03467/3</t>
  </si>
  <si>
    <t>W03467/4</t>
  </si>
  <si>
    <t>W03467/5</t>
  </si>
  <si>
    <t>W03467/6</t>
  </si>
  <si>
    <t>W03467/7</t>
  </si>
  <si>
    <t>W03467/8</t>
  </si>
  <si>
    <t>W03467/9</t>
  </si>
  <si>
    <t>W03467/10</t>
  </si>
  <si>
    <t>W03467/11</t>
  </si>
  <si>
    <t>W03467/12</t>
  </si>
  <si>
    <t>W03467/13</t>
  </si>
  <si>
    <t>W03467/14</t>
  </si>
  <si>
    <t>W03467/15</t>
  </si>
  <si>
    <t>W03467/16</t>
  </si>
  <si>
    <t>W03467/17</t>
  </si>
  <si>
    <t>W03467/18</t>
  </si>
  <si>
    <t>W03467/19</t>
  </si>
  <si>
    <t>W03467/20</t>
  </si>
  <si>
    <t>W03467/21</t>
  </si>
  <si>
    <t>W03467/22</t>
  </si>
  <si>
    <t>W03467/23</t>
  </si>
  <si>
    <t>W03467/24</t>
  </si>
  <si>
    <t>W03467/25</t>
  </si>
  <si>
    <t>W03467/26</t>
  </si>
  <si>
    <t>W03467/27</t>
  </si>
  <si>
    <t>W03467/28</t>
  </si>
  <si>
    <t>W03467/35</t>
  </si>
  <si>
    <t>W03467/29</t>
  </si>
  <si>
    <t>W03467/30</t>
  </si>
  <si>
    <t>W03467/31</t>
  </si>
  <si>
    <t>W03467/32</t>
  </si>
  <si>
    <t>W03467/33</t>
  </si>
  <si>
    <t>W03467/34</t>
  </si>
  <si>
    <t>N20C3520Z</t>
  </si>
  <si>
    <t>ROD, THREADED, 1.25-7 UNC, 22.00 LG, ZINC PLATED</t>
  </si>
  <si>
    <t>ZINC PLATED STEEL</t>
  </si>
  <si>
    <t>G20C0000Z</t>
  </si>
  <si>
    <t>HEX NUT, 1-1/4-7, ZINC PLATED</t>
  </si>
  <si>
    <t>C08C0320Z</t>
  </si>
  <si>
    <t>HHCS, 1/2-13, 2.00 LG, ZINC PLATED</t>
  </si>
  <si>
    <t>G05F0000Z</t>
  </si>
  <si>
    <t>HEX NUT, 5/16-24, ZINC PLATED</t>
  </si>
  <si>
    <t>F0500000Z</t>
  </si>
  <si>
    <t>WASHER, 5/16 NOM ID, 0.065 THK, ZINC PLATED</t>
  </si>
  <si>
    <t>C05F0400Z</t>
  </si>
  <si>
    <t>HHCS, 5/16-24, 2.50 LG, ZINC PLATED</t>
  </si>
  <si>
    <t>C05F0360Z</t>
  </si>
  <si>
    <t>HHCS, 5/16-24, 2.25 LG, ZINC PLATED</t>
  </si>
  <si>
    <t>C05F0440Z</t>
  </si>
  <si>
    <t>HHCS, 5/16-24, 2.75 LG, ZINC PLATED</t>
  </si>
  <si>
    <t>L0800000Z</t>
  </si>
  <si>
    <t>WASHER, LOCK, 1/2" NOM ID, ZINC PLATED</t>
  </si>
  <si>
    <t xml:space="preserve">PAINT, GRAY, INORGANIC ZINC </t>
  </si>
  <si>
    <t>Inorganic Zinc Carbozinc 11 HS, Color: Grey</t>
  </si>
  <si>
    <t>AL 6061-T6</t>
  </si>
  <si>
    <t>W03476/23</t>
  </si>
  <si>
    <t>W03476/24</t>
  </si>
  <si>
    <t>W03476/25</t>
  </si>
  <si>
    <t>W03476/26</t>
  </si>
  <si>
    <t>114485-00A</t>
  </si>
  <si>
    <t xml:space="preserve">  NIPPLE, CF 4.50 OD, ALUMINUM</t>
  </si>
  <si>
    <t>W03476/27</t>
  </si>
  <si>
    <t>114486-00A</t>
  </si>
  <si>
    <t xml:space="preserve">  AIR PURIFICATION SYSTEM</t>
  </si>
  <si>
    <t>W03476/28</t>
  </si>
  <si>
    <t>114487-00A</t>
  </si>
  <si>
    <t xml:space="preserve">    FLANGE, APS, CF 4.50</t>
  </si>
  <si>
    <t>W03476/29</t>
  </si>
  <si>
    <t>114488-00A</t>
  </si>
  <si>
    <t xml:space="preserve">    TUBE, APS</t>
  </si>
  <si>
    <t>W03476/30</t>
  </si>
  <si>
    <t>114489-00A</t>
  </si>
  <si>
    <t xml:space="preserve">    PLATE, MOUNTING</t>
  </si>
  <si>
    <t>W03476/31</t>
  </si>
  <si>
    <t>114490-00A</t>
  </si>
  <si>
    <t xml:space="preserve">      PLATE, MOUNTING, BASE</t>
  </si>
  <si>
    <t>W03476/32</t>
  </si>
  <si>
    <t>114491-00A</t>
  </si>
  <si>
    <t xml:space="preserve">      PLATE, SUPPORT, MODULES</t>
  </si>
  <si>
    <t>W03476/33</t>
  </si>
  <si>
    <t xml:space="preserve">    MODULE, WATER ADSORBING</t>
  </si>
  <si>
    <t xml:space="preserve">    MODULE, CARBON ADSORBING</t>
  </si>
  <si>
    <t xml:space="preserve">    MODULE, CLASS 5 PARTICULATE FILTER</t>
  </si>
  <si>
    <t>C14C0480Z</t>
  </si>
  <si>
    <t xml:space="preserve">  HHCS, 7/8-9, 3.00 LG, ZINC PLATED</t>
  </si>
  <si>
    <t>C04F0280Z</t>
  </si>
  <si>
    <t xml:space="preserve">  HHCS, 5/16-24, 1.75 LG, ZINC PLATED</t>
  </si>
  <si>
    <t>F1400000Z</t>
  </si>
  <si>
    <t xml:space="preserve">  WASHERS, 7/8 NOM ID, ZINC PLATED</t>
  </si>
  <si>
    <t xml:space="preserve">  WASHERS, 5/16" NOM ID, ZINC PLATED</t>
  </si>
  <si>
    <t>G14C0000Z</t>
  </si>
  <si>
    <t xml:space="preserve">  NUTS, 7/8-9 ZINC PLATED</t>
  </si>
  <si>
    <t xml:space="preserve">  NUTS, 5/16-24, ZINC PLATED</t>
  </si>
  <si>
    <t>G-450</t>
  </si>
  <si>
    <t xml:space="preserve">  COPPER GASKET, 4.50</t>
  </si>
  <si>
    <t>TEST FLANGE 80.25</t>
  </si>
  <si>
    <t>AISI 304/AISI 304L DUAL CERT PER SA-240</t>
  </si>
  <si>
    <t>W03476/34</t>
  </si>
  <si>
    <t>WELDMENT, FLANGE, TEST, 80.25</t>
  </si>
  <si>
    <t>W03476/35</t>
  </si>
  <si>
    <t>PLATE, FLANGE, TEST, 80.25</t>
  </si>
  <si>
    <t>W03476/36</t>
  </si>
  <si>
    <t>PLT, THK TBD., STOCK</t>
  </si>
  <si>
    <t>PLT, TBD THK, 80.25 OD</t>
  </si>
  <si>
    <t xml:space="preserve">PLATE, STIFFENER, </t>
  </si>
  <si>
    <t>W03476/37</t>
  </si>
  <si>
    <t>PLT. TBD THK, TBD WD, TBD LG</t>
  </si>
  <si>
    <t>1N-250</t>
  </si>
  <si>
    <t xml:space="preserve">  NIPPLE, CF 4.50 OD</t>
  </si>
  <si>
    <t>1N-NW-25B</t>
  </si>
  <si>
    <t xml:space="preserve">  NIPPLE, NW25</t>
  </si>
  <si>
    <t>1N-075</t>
  </si>
  <si>
    <t>NIPPLE, CF1.33" OD</t>
  </si>
  <si>
    <t>133-1/2QD</t>
  </si>
  <si>
    <t xml:space="preserve">  ADAPTER, TUBE COMPRESSION</t>
  </si>
  <si>
    <t>114514-00V</t>
  </si>
  <si>
    <t>GASKET, 68.50 OD, VITON</t>
  </si>
  <si>
    <t>VITON, 75 A DUROMETER</t>
  </si>
  <si>
    <t>Blank, 68.50" OD, FLAT FACED</t>
  </si>
  <si>
    <t>114499-00A</t>
  </si>
  <si>
    <t>BLANK, SHIPPING, 92.25 OD, FLAT FACED</t>
  </si>
  <si>
    <t>114502-00WA</t>
  </si>
  <si>
    <t>114503-00A</t>
  </si>
  <si>
    <t>114504-00A</t>
  </si>
  <si>
    <t xml:space="preserve">  PLATE, ALUMINUM, 92.25 OD, FLAT FACED</t>
  </si>
  <si>
    <t xml:space="preserve">  STIFFENER, BLANK, SHIPPING, 92.50 OD</t>
  </si>
  <si>
    <t>114507-00S</t>
  </si>
  <si>
    <t>114508-00S</t>
  </si>
  <si>
    <t>114528-00WS</t>
  </si>
  <si>
    <t>114527-00S</t>
  </si>
  <si>
    <t>GASKET, 92.25 OD, VITON</t>
  </si>
  <si>
    <t>114513-00V</t>
  </si>
  <si>
    <t>Clean weldment and ship to ABC for paint</t>
  </si>
  <si>
    <t>ROD, WELD, 1/8" X 36", 50# BOX</t>
  </si>
  <si>
    <t>AISI 304L</t>
  </si>
  <si>
    <t>Scrub weld wire and surfaces to be welded with</t>
  </si>
  <si>
    <t>CO2</t>
  </si>
  <si>
    <t>Move component to TOS</t>
  </si>
  <si>
    <t>Machine weld preps on stiffener per print</t>
  </si>
  <si>
    <r>
      <t>Adhere to QP1730-10</t>
    </r>
    <r>
      <rPr>
        <sz val="11"/>
        <color indexed="8"/>
        <rFont val="Calibri"/>
        <family val="2"/>
      </rPr>
      <t>§</t>
    </r>
    <r>
      <rPr>
        <sz val="11"/>
        <color indexed="8"/>
        <rFont val="Arial"/>
        <family val="2"/>
      </rPr>
      <t>4</t>
    </r>
  </si>
  <si>
    <t>Waterjet profile completely per print</t>
  </si>
  <si>
    <r>
      <t>Follow provisions of QP1730-10</t>
    </r>
    <r>
      <rPr>
        <sz val="11"/>
        <color indexed="8"/>
        <rFont val="Calibri"/>
        <family val="2"/>
      </rPr>
      <t>§</t>
    </r>
    <r>
      <rPr>
        <sz val="11"/>
        <color indexed="8"/>
        <rFont val="Arial"/>
        <family val="2"/>
      </rPr>
      <t>5</t>
    </r>
  </si>
  <si>
    <t>Make sure all material is in LIGO clean room and</t>
  </si>
  <si>
    <t>prepped for clean room welding</t>
  </si>
  <si>
    <t xml:space="preserve">Saw cut tube to length per print.  </t>
  </si>
  <si>
    <r>
      <t>Follow QP1730-10</t>
    </r>
    <r>
      <rPr>
        <sz val="11"/>
        <color indexed="8"/>
        <rFont val="Calibri"/>
        <family val="2"/>
      </rPr>
      <t>§</t>
    </r>
    <r>
      <rPr>
        <sz val="11"/>
        <color indexed="8"/>
        <rFont val="Arial"/>
        <family val="2"/>
      </rPr>
      <t xml:space="preserve">5, CCP.  </t>
    </r>
  </si>
  <si>
    <t>QP1730-10, CONTAMINATION CONTROL PLAN, APPLIES DURING ALL STEPS!!</t>
  </si>
  <si>
    <t>ONLY AUTHORIZED PERSONNEL MAY HANDLE COMPONENTS OF THIS JOB!!!</t>
  </si>
  <si>
    <t>A</t>
  </si>
  <si>
    <t>C</t>
  </si>
  <si>
    <t>E</t>
  </si>
  <si>
    <t>PAINTING TO BE DONE BY ABC PAINT, MARE ISLAND, CA. Surface Preparation: SSPC SP-10 (Near White) Blast Cleaning, PRIMER: 2-3 mils DFT Inorganic Zinc Carbozinc 11 HS, Color: Grey PAINT:8-10 mils DFT Carboline 450 -Medium Grey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</si>
</sst>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d/yy;@"/>
    <numFmt numFmtId="167" formatCode="&quot;W02602/&quot;#"/>
  </numFmts>
  <fonts count="77">
    <font>
      <sz val="11"/>
      <color theme="1"/>
      <name val="Calibri"/>
      <family val="2"/>
    </font>
    <font>
      <sz val="11"/>
      <color indexed="8"/>
      <name val="Calibri"/>
      <family val="2"/>
    </font>
    <font>
      <sz val="11"/>
      <name val="Arial"/>
      <family val="2"/>
    </font>
    <font>
      <sz val="8"/>
      <name val="Tahoma"/>
      <family val="2"/>
    </font>
    <font>
      <b/>
      <sz val="8"/>
      <name val="Tahoma"/>
      <family val="2"/>
    </font>
    <font>
      <b/>
      <u val="single"/>
      <sz val="8"/>
      <name val="Tahoma"/>
      <family val="2"/>
    </font>
    <font>
      <sz val="12"/>
      <name val="Century Gothic"/>
      <family val="2"/>
    </font>
    <font>
      <sz val="12"/>
      <color indexed="8"/>
      <name val="Arial"/>
      <family val="2"/>
    </font>
    <font>
      <b/>
      <sz val="12"/>
      <color indexed="8"/>
      <name val="Arial"/>
      <family val="2"/>
    </font>
    <font>
      <sz val="11"/>
      <color indexed="8"/>
      <name val="Arial"/>
      <family val="2"/>
    </font>
    <font>
      <sz val="7.7"/>
      <color indexed="8"/>
      <name val="Arial"/>
      <family val="2"/>
    </font>
    <font>
      <sz val="12"/>
      <color indexed="8"/>
      <name val="Calibri"/>
      <family val="2"/>
    </font>
    <font>
      <b/>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b/>
      <sz val="22"/>
      <color indexed="8"/>
      <name val="Arial"/>
      <family val="2"/>
    </font>
    <font>
      <b/>
      <sz val="14"/>
      <color indexed="8"/>
      <name val="Arial"/>
      <family val="2"/>
    </font>
    <font>
      <sz val="11"/>
      <color indexed="9"/>
      <name val="Arial"/>
      <family val="2"/>
    </font>
    <font>
      <b/>
      <sz val="16"/>
      <color indexed="8"/>
      <name val="Calibri"/>
      <family val="2"/>
    </font>
    <font>
      <u val="single"/>
      <sz val="11"/>
      <color indexed="8"/>
      <name val="Calibri"/>
      <family val="2"/>
    </font>
    <font>
      <sz val="10"/>
      <color indexed="8"/>
      <name val="Arial"/>
      <family val="2"/>
    </font>
    <font>
      <b/>
      <sz val="28"/>
      <color indexed="8"/>
      <name val="Arial"/>
      <family val="2"/>
    </font>
    <font>
      <sz val="9"/>
      <color indexed="8"/>
      <name val="Arial"/>
      <family val="2"/>
    </font>
    <font>
      <b/>
      <u val="single"/>
      <sz val="11"/>
      <color indexed="9"/>
      <name val="Calibri"/>
      <family val="2"/>
    </font>
    <font>
      <b/>
      <sz val="2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22"/>
      <color theme="1"/>
      <name val="Arial"/>
      <family val="2"/>
    </font>
    <font>
      <b/>
      <sz val="14"/>
      <color theme="1"/>
      <name val="Arial"/>
      <family val="2"/>
    </font>
    <font>
      <sz val="11"/>
      <color theme="0"/>
      <name val="Arial"/>
      <family val="2"/>
    </font>
    <font>
      <b/>
      <sz val="16"/>
      <color theme="1"/>
      <name val="Calibri"/>
      <family val="2"/>
    </font>
    <font>
      <u val="single"/>
      <sz val="11"/>
      <color theme="1"/>
      <name val="Calibri"/>
      <family val="2"/>
    </font>
    <font>
      <sz val="10"/>
      <color theme="1"/>
      <name val="Arial"/>
      <family val="2"/>
    </font>
    <font>
      <sz val="12"/>
      <color theme="1"/>
      <name val="Arial"/>
      <family val="2"/>
    </font>
    <font>
      <b/>
      <sz val="28"/>
      <color theme="1"/>
      <name val="Arial"/>
      <family val="2"/>
    </font>
    <font>
      <sz val="9"/>
      <color theme="1"/>
      <name val="Arial"/>
      <family val="2"/>
    </font>
    <font>
      <b/>
      <u val="single"/>
      <sz val="11"/>
      <color theme="0"/>
      <name val="Calibri"/>
      <family val="2"/>
    </font>
    <font>
      <b/>
      <sz val="20"/>
      <color theme="1"/>
      <name val="Calibri"/>
      <family val="2"/>
    </font>
    <font>
      <sz val="1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theme="6" tint="0.39998000860214233"/>
      </bottom>
    </border>
    <border>
      <left style="hair"/>
      <right style="hair"/>
      <top style="hair"/>
      <bottom style="hair"/>
    </border>
    <border>
      <left style="thin"/>
      <right style="medium"/>
      <top style="thin"/>
      <bottom style="thin"/>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3" fillId="32" borderId="7">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147">
    <xf numFmtId="0" fontId="0" fillId="0" borderId="0" xfId="0" applyFont="1" applyAlignment="1">
      <alignment/>
    </xf>
    <xf numFmtId="0" fontId="62" fillId="0" borderId="0" xfId="0" applyFont="1" applyFill="1" applyAlignment="1">
      <alignment vertical="center"/>
    </xf>
    <xf numFmtId="0" fontId="62" fillId="0" borderId="0" xfId="0" applyFont="1" applyFill="1" applyAlignment="1">
      <alignment horizontal="center" vertical="center"/>
    </xf>
    <xf numFmtId="0" fontId="62" fillId="0" borderId="0" xfId="0" applyFont="1" applyFill="1" applyAlignment="1">
      <alignment vertical="center" shrinkToFit="1"/>
    </xf>
    <xf numFmtId="166" fontId="62" fillId="0" borderId="0" xfId="0" applyNumberFormat="1" applyFont="1" applyFill="1" applyAlignment="1">
      <alignment horizontal="center" vertical="center"/>
    </xf>
    <xf numFmtId="0" fontId="62" fillId="0" borderId="0" xfId="0" applyFont="1" applyFill="1" applyAlignment="1">
      <alignment horizontal="center" vertical="center" shrinkToFit="1"/>
    </xf>
    <xf numFmtId="0" fontId="62" fillId="0" borderId="7" xfId="0" applyFont="1" applyFill="1" applyBorder="1" applyAlignment="1">
      <alignment horizontal="center" vertical="center"/>
    </xf>
    <xf numFmtId="0" fontId="62" fillId="0" borderId="7" xfId="0" applyFont="1" applyFill="1" applyBorder="1" applyAlignment="1">
      <alignment vertical="center"/>
    </xf>
    <xf numFmtId="0" fontId="62" fillId="0" borderId="7" xfId="0" applyFont="1" applyFill="1" applyBorder="1" applyAlignment="1">
      <alignment horizontal="left" vertical="center"/>
    </xf>
    <xf numFmtId="166" fontId="62" fillId="0" borderId="7" xfId="0" applyNumberFormat="1" applyFont="1" applyFill="1" applyBorder="1" applyAlignment="1">
      <alignment horizontal="center" vertical="center"/>
    </xf>
    <xf numFmtId="0" fontId="62" fillId="0" borderId="0" xfId="0" applyFont="1" applyFill="1" applyAlignment="1">
      <alignment horizontal="left" vertical="center"/>
    </xf>
    <xf numFmtId="0" fontId="62" fillId="0" borderId="0" xfId="0" applyFont="1" applyFill="1" applyBorder="1" applyAlignment="1" applyProtection="1">
      <alignment vertical="center"/>
      <protection locked="0"/>
    </xf>
    <xf numFmtId="0" fontId="62" fillId="0" borderId="0" xfId="0" applyNumberFormat="1" applyFont="1" applyFill="1" applyAlignment="1">
      <alignment horizontal="center" vertical="center"/>
    </xf>
    <xf numFmtId="0" fontId="62" fillId="0" borderId="0" xfId="0" applyFont="1" applyAlignment="1" applyProtection="1">
      <alignment vertical="center"/>
      <protection locked="0"/>
    </xf>
    <xf numFmtId="0" fontId="62" fillId="0" borderId="11" xfId="0" applyFont="1" applyBorder="1" applyAlignment="1" applyProtection="1">
      <alignment vertical="center"/>
      <protection locked="0"/>
    </xf>
    <xf numFmtId="0" fontId="62" fillId="0" borderId="12" xfId="0" applyFont="1" applyBorder="1" applyAlignment="1" applyProtection="1">
      <alignment vertical="center"/>
      <protection locked="0"/>
    </xf>
    <xf numFmtId="0" fontId="63" fillId="0" borderId="12" xfId="0" applyFont="1" applyBorder="1" applyAlignment="1" applyProtection="1">
      <alignment vertical="center"/>
      <protection locked="0"/>
    </xf>
    <xf numFmtId="0" fontId="2" fillId="0" borderId="12" xfId="0" applyNumberFormat="1" applyFont="1" applyBorder="1" applyAlignment="1" applyProtection="1">
      <alignment vertical="center"/>
      <protection locked="0"/>
    </xf>
    <xf numFmtId="0" fontId="62" fillId="0" borderId="13" xfId="0" applyFont="1" applyBorder="1" applyAlignment="1" applyProtection="1">
      <alignment horizontal="right" vertical="center"/>
      <protection locked="0"/>
    </xf>
    <xf numFmtId="0" fontId="62" fillId="0" borderId="14"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0" xfId="0" applyFont="1" applyBorder="1" applyAlignment="1" applyProtection="1">
      <alignment horizontal="right" vertical="center"/>
      <protection locked="0"/>
    </xf>
    <xf numFmtId="167" fontId="64" fillId="0" borderId="0" xfId="0" applyNumberFormat="1" applyFont="1" applyBorder="1" applyAlignment="1" applyProtection="1">
      <alignment horizontal="left" vertical="center"/>
      <protection locked="0"/>
    </xf>
    <xf numFmtId="0" fontId="62" fillId="0" borderId="15" xfId="0" applyFont="1" applyBorder="1" applyAlignment="1" applyProtection="1">
      <alignment vertical="center"/>
      <protection locked="0"/>
    </xf>
    <xf numFmtId="0" fontId="65" fillId="0" borderId="0" xfId="0" applyFont="1" applyBorder="1" applyAlignment="1" applyProtection="1">
      <alignment horizontal="right" vertical="center"/>
      <protection locked="0"/>
    </xf>
    <xf numFmtId="0" fontId="66" fillId="0" borderId="0" xfId="0" applyFont="1" applyBorder="1" applyAlignment="1" applyProtection="1">
      <alignment vertical="center"/>
      <protection locked="0"/>
    </xf>
    <xf numFmtId="166" fontId="62" fillId="0" borderId="0" xfId="0" applyNumberFormat="1" applyFont="1" applyBorder="1" applyAlignment="1" applyProtection="1">
      <alignment vertical="center"/>
      <protection locked="0"/>
    </xf>
    <xf numFmtId="0" fontId="62" fillId="0" borderId="13" xfId="0" applyFont="1" applyBorder="1" applyAlignment="1" applyProtection="1">
      <alignment vertical="center"/>
      <protection locked="0"/>
    </xf>
    <xf numFmtId="0" fontId="62" fillId="0" borderId="16" xfId="0" applyFont="1" applyBorder="1" applyAlignment="1" applyProtection="1">
      <alignment vertical="center"/>
      <protection locked="0"/>
    </xf>
    <xf numFmtId="0" fontId="62" fillId="0" borderId="17" xfId="0" applyFont="1" applyBorder="1" applyAlignment="1" applyProtection="1">
      <alignment vertical="center"/>
      <protection locked="0"/>
    </xf>
    <xf numFmtId="0" fontId="62" fillId="0" borderId="18" xfId="0" applyFont="1" applyBorder="1" applyAlignment="1" applyProtection="1">
      <alignment vertical="center"/>
      <protection locked="0"/>
    </xf>
    <xf numFmtId="0" fontId="62" fillId="0" borderId="0" xfId="0" applyFont="1" applyAlignment="1" applyProtection="1">
      <alignment horizontal="right" vertical="center"/>
      <protection locked="0"/>
    </xf>
    <xf numFmtId="0" fontId="62" fillId="0" borderId="0" xfId="0" applyFont="1" applyAlignment="1" applyProtection="1">
      <alignment horizontal="right" vertical="center" shrinkToFit="1"/>
      <protection locked="0"/>
    </xf>
    <xf numFmtId="0" fontId="62" fillId="0" borderId="0" xfId="0" applyFont="1" applyAlignment="1" applyProtection="1">
      <alignment vertical="center" shrinkToFit="1"/>
      <protection locked="0"/>
    </xf>
    <xf numFmtId="0" fontId="62" fillId="0" borderId="19"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20" xfId="0" applyFont="1" applyBorder="1" applyAlignment="1" applyProtection="1">
      <alignment vertical="center"/>
      <protection locked="0"/>
    </xf>
    <xf numFmtId="0" fontId="62" fillId="0" borderId="21" xfId="0" applyFont="1" applyBorder="1" applyAlignment="1" applyProtection="1">
      <alignment vertical="center"/>
      <protection locked="0"/>
    </xf>
    <xf numFmtId="0" fontId="62" fillId="0" borderId="22" xfId="0" applyFont="1" applyBorder="1" applyAlignment="1" applyProtection="1">
      <alignment vertical="center"/>
      <protection locked="0"/>
    </xf>
    <xf numFmtId="0" fontId="62" fillId="0" borderId="21" xfId="0" applyFont="1" applyBorder="1" applyAlignment="1" applyProtection="1">
      <alignment horizontal="center" vertical="center"/>
      <protection locked="0"/>
    </xf>
    <xf numFmtId="0" fontId="62" fillId="12" borderId="23" xfId="0" applyFont="1" applyFill="1" applyBorder="1" applyAlignment="1" applyProtection="1">
      <alignment horizontal="center" vertical="center"/>
      <protection locked="0"/>
    </xf>
    <xf numFmtId="0" fontId="62" fillId="12" borderId="14" xfId="0" applyFont="1" applyFill="1" applyBorder="1" applyAlignment="1" applyProtection="1">
      <alignment horizontal="center" vertical="center"/>
      <protection locked="0"/>
    </xf>
    <xf numFmtId="0" fontId="62" fillId="12" borderId="14" xfId="0" applyFont="1" applyFill="1" applyBorder="1" applyAlignment="1" applyProtection="1">
      <alignment vertical="center"/>
      <protection locked="0"/>
    </xf>
    <xf numFmtId="0" fontId="62" fillId="12" borderId="0" xfId="0" applyFont="1" applyFill="1" applyBorder="1" applyAlignment="1" applyProtection="1">
      <alignment vertical="center"/>
      <protection locked="0"/>
    </xf>
    <xf numFmtId="0" fontId="62" fillId="12" borderId="15" xfId="0" applyFont="1" applyFill="1" applyBorder="1" applyAlignment="1" applyProtection="1">
      <alignment vertical="center"/>
      <protection locked="0"/>
    </xf>
    <xf numFmtId="0" fontId="62" fillId="0" borderId="23"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0" borderId="24"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7" xfId="0" applyFont="1" applyBorder="1" applyAlignment="1" applyProtection="1">
      <alignment horizontal="right" vertical="center"/>
      <protection locked="0"/>
    </xf>
    <xf numFmtId="0" fontId="62" fillId="0" borderId="0" xfId="0" applyFont="1" applyBorder="1" applyAlignment="1" applyProtection="1">
      <alignment vertical="center"/>
      <protection/>
    </xf>
    <xf numFmtId="0" fontId="62" fillId="0" borderId="14" xfId="0" applyFont="1" applyBorder="1" applyAlignment="1" applyProtection="1">
      <alignment vertical="center"/>
      <protection/>
    </xf>
    <xf numFmtId="0" fontId="47" fillId="34" borderId="25" xfId="0" applyFont="1" applyFill="1" applyBorder="1" applyAlignment="1">
      <alignment horizontal="center" vertical="center" wrapText="1"/>
    </xf>
    <xf numFmtId="0" fontId="0" fillId="35" borderId="25" xfId="0" applyFont="1" applyFill="1" applyBorder="1" applyAlignment="1">
      <alignment horizontal="center" vertical="center"/>
    </xf>
    <xf numFmtId="0" fontId="67" fillId="35" borderId="25" xfId="0" applyFont="1" applyFill="1" applyBorder="1" applyAlignment="1">
      <alignment horizontal="center" vertical="center"/>
    </xf>
    <xf numFmtId="0" fontId="4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47" fillId="34"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7" fillId="35" borderId="0" xfId="0" applyFont="1" applyFill="1" applyBorder="1" applyAlignment="1">
      <alignment horizontal="center" vertical="center"/>
    </xf>
    <xf numFmtId="0" fontId="68" fillId="0" borderId="0" xfId="0" applyFont="1" applyAlignment="1">
      <alignment/>
    </xf>
    <xf numFmtId="0" fontId="0" fillId="0" borderId="0" xfId="0" applyAlignment="1">
      <alignment wrapText="1"/>
    </xf>
    <xf numFmtId="0" fontId="68"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shrinkToFit="1"/>
    </xf>
    <xf numFmtId="0" fontId="69" fillId="0" borderId="0" xfId="0" applyFont="1" applyAlignment="1" applyProtection="1">
      <alignment vertical="center"/>
      <protection locked="0"/>
    </xf>
    <xf numFmtId="0" fontId="62" fillId="0" borderId="7" xfId="0" applyFont="1" applyFill="1" applyBorder="1" applyAlignment="1">
      <alignment vertical="center" wrapText="1" shrinkToFit="1"/>
    </xf>
    <xf numFmtId="49" fontId="6" fillId="0" borderId="7" xfId="0" applyNumberFormat="1" applyFont="1" applyBorder="1" applyAlignment="1">
      <alignment/>
    </xf>
    <xf numFmtId="0" fontId="6" fillId="0" borderId="7" xfId="0" applyFont="1" applyBorder="1" applyAlignment="1">
      <alignment/>
    </xf>
    <xf numFmtId="0" fontId="6" fillId="0" borderId="7" xfId="0" applyFont="1" applyBorder="1" applyAlignment="1">
      <alignment horizontal="center" vertical="center"/>
    </xf>
    <xf numFmtId="0" fontId="6" fillId="0" borderId="7" xfId="0" applyFont="1" applyBorder="1" applyAlignment="1">
      <alignment wrapText="1"/>
    </xf>
    <xf numFmtId="0" fontId="70" fillId="0" borderId="7" xfId="0" applyNumberFormat="1" applyFont="1" applyFill="1" applyBorder="1" applyAlignment="1">
      <alignment horizontal="center" vertical="center" shrinkToFit="1"/>
    </xf>
    <xf numFmtId="0" fontId="62" fillId="0" borderId="7" xfId="0" applyFont="1" applyFill="1" applyBorder="1" applyAlignment="1">
      <alignment vertical="center" shrinkToFit="1"/>
    </xf>
    <xf numFmtId="0" fontId="62" fillId="0" borderId="0" xfId="0" applyFont="1" applyFill="1" applyAlignment="1">
      <alignment vertical="center" wrapText="1"/>
    </xf>
    <xf numFmtId="0" fontId="71" fillId="0" borderId="7" xfId="0" applyFont="1" applyFill="1" applyBorder="1" applyAlignment="1">
      <alignment horizontal="left" vertical="center"/>
    </xf>
    <xf numFmtId="0" fontId="71" fillId="0" borderId="7" xfId="0" applyFont="1" applyFill="1" applyBorder="1" applyAlignment="1">
      <alignment horizontal="right" vertical="center" shrinkToFit="1"/>
    </xf>
    <xf numFmtId="0" fontId="71" fillId="0" borderId="7" xfId="0" applyFont="1" applyFill="1" applyBorder="1" applyAlignment="1">
      <alignment vertical="center" shrinkToFit="1"/>
    </xf>
    <xf numFmtId="0" fontId="71" fillId="0" borderId="7" xfId="0" applyFont="1" applyFill="1" applyBorder="1" applyAlignment="1">
      <alignment horizontal="center" vertical="center"/>
    </xf>
    <xf numFmtId="0" fontId="62" fillId="0" borderId="7" xfId="0" applyNumberFormat="1" applyFont="1" applyFill="1" applyBorder="1" applyAlignment="1">
      <alignment horizontal="center" vertical="center"/>
    </xf>
    <xf numFmtId="0" fontId="62" fillId="0" borderId="7" xfId="0" applyFont="1" applyFill="1" applyBorder="1" applyAlignment="1">
      <alignment horizontal="center" vertical="center" shrinkToFit="1"/>
    </xf>
    <xf numFmtId="0" fontId="72" fillId="0" borderId="7" xfId="0" applyFont="1" applyFill="1" applyBorder="1" applyAlignment="1">
      <alignment horizontal="center" vertical="center" wrapText="1"/>
    </xf>
    <xf numFmtId="166" fontId="62" fillId="0" borderId="7" xfId="0" applyNumberFormat="1" applyFont="1" applyFill="1" applyBorder="1" applyAlignment="1">
      <alignment horizontal="center" vertical="center" shrinkToFit="1"/>
    </xf>
    <xf numFmtId="0" fontId="69" fillId="0" borderId="7" xfId="0" applyNumberFormat="1" applyFont="1" applyFill="1" applyBorder="1" applyAlignment="1">
      <alignment horizontal="center" vertical="center" wrapText="1"/>
    </xf>
    <xf numFmtId="0" fontId="69" fillId="0" borderId="7" xfId="0" applyFont="1" applyFill="1" applyBorder="1" applyAlignment="1">
      <alignment horizontal="center" vertical="center" wrapText="1" shrinkToFit="1"/>
    </xf>
    <xf numFmtId="0" fontId="70"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62" fillId="0" borderId="7" xfId="0" applyFont="1" applyFill="1" applyBorder="1" applyAlignment="1">
      <alignment vertical="center" wrapText="1"/>
    </xf>
    <xf numFmtId="0" fontId="62" fillId="0" borderId="7" xfId="0" applyFont="1" applyFill="1" applyBorder="1" applyAlignment="1">
      <alignment horizontal="center" vertical="center" wrapText="1" shrinkToFit="1"/>
    </xf>
    <xf numFmtId="0" fontId="70" fillId="0" borderId="7" xfId="0" applyFont="1" applyFill="1" applyBorder="1" applyAlignment="1">
      <alignment horizontal="center" vertical="center" wrapText="1" shrinkToFit="1"/>
    </xf>
    <xf numFmtId="0" fontId="62" fillId="0" borderId="0" xfId="0" applyFont="1" applyFill="1" applyAlignment="1">
      <alignment horizontal="center" vertical="center" wrapText="1"/>
    </xf>
    <xf numFmtId="0" fontId="62" fillId="0" borderId="0" xfId="0" applyFont="1" applyFill="1" applyAlignment="1">
      <alignment vertical="center" wrapText="1" shrinkToFit="1"/>
    </xf>
    <xf numFmtId="0" fontId="62" fillId="36" borderId="7" xfId="0" applyFont="1" applyFill="1" applyBorder="1" applyAlignment="1">
      <alignment horizontal="center" vertical="center"/>
    </xf>
    <xf numFmtId="0" fontId="6" fillId="36" borderId="7" xfId="0" applyFont="1" applyFill="1" applyBorder="1" applyAlignment="1">
      <alignment/>
    </xf>
    <xf numFmtId="0" fontId="6" fillId="36" borderId="7" xfId="0" applyFont="1" applyFill="1" applyBorder="1" applyAlignment="1">
      <alignment horizontal="center" vertical="center"/>
    </xf>
    <xf numFmtId="166" fontId="62" fillId="36" borderId="7" xfId="0" applyNumberFormat="1" applyFont="1" applyFill="1" applyBorder="1" applyAlignment="1">
      <alignment horizontal="center" vertical="center"/>
    </xf>
    <xf numFmtId="0" fontId="62" fillId="36" borderId="7" xfId="0" applyFont="1" applyFill="1" applyBorder="1" applyAlignment="1">
      <alignment vertical="center"/>
    </xf>
    <xf numFmtId="14" fontId="64" fillId="0" borderId="0" xfId="0" applyNumberFormat="1" applyFont="1" applyBorder="1" applyAlignment="1" applyProtection="1">
      <alignment vertical="center" shrinkToFit="1"/>
      <protection/>
    </xf>
    <xf numFmtId="0" fontId="62" fillId="0" borderId="23" xfId="0" applyFont="1" applyBorder="1" applyAlignment="1" applyProtection="1">
      <alignment vertical="center"/>
      <protection locked="0"/>
    </xf>
    <xf numFmtId="0" fontId="62" fillId="0" borderId="14" xfId="0" applyFont="1" applyBorder="1" applyAlignment="1" applyProtection="1">
      <alignment horizontal="left" vertical="center"/>
      <protection locked="0"/>
    </xf>
    <xf numFmtId="0" fontId="73" fillId="37" borderId="26" xfId="0" applyFont="1" applyFill="1" applyBorder="1" applyAlignment="1">
      <alignment horizontal="center" vertical="center" shrinkToFit="1"/>
    </xf>
    <xf numFmtId="0" fontId="73" fillId="37" borderId="26" xfId="0" applyFont="1" applyFill="1" applyBorder="1" applyAlignment="1">
      <alignment horizontal="center" vertical="center"/>
    </xf>
    <xf numFmtId="0" fontId="73" fillId="37" borderId="26" xfId="0" applyFont="1" applyFill="1" applyBorder="1" applyAlignment="1">
      <alignment horizontal="center" vertical="center" wrapText="1"/>
    </xf>
    <xf numFmtId="0" fontId="74" fillId="35" borderId="26" xfId="0" applyFont="1" applyFill="1" applyBorder="1" applyAlignment="1" applyProtection="1">
      <alignment horizontal="right" shrinkToFit="1"/>
      <protection locked="0"/>
    </xf>
    <xf numFmtId="0" fontId="0" fillId="4" borderId="26" xfId="0" applyFill="1" applyBorder="1" applyAlignment="1">
      <alignment/>
    </xf>
    <xf numFmtId="0" fontId="75" fillId="35" borderId="26" xfId="0" applyNumberFormat="1" applyFont="1" applyFill="1" applyBorder="1" applyAlignment="1">
      <alignment horizontal="left" vertical="center" wrapText="1"/>
    </xf>
    <xf numFmtId="0" fontId="0" fillId="35" borderId="26" xfId="0" applyNumberFormat="1" applyFont="1" applyFill="1" applyBorder="1" applyAlignment="1">
      <alignment horizontal="center" vertical="center"/>
    </xf>
    <xf numFmtId="0" fontId="0" fillId="35" borderId="26" xfId="0" applyFont="1" applyFill="1" applyBorder="1" applyAlignment="1" applyProtection="1">
      <alignment horizontal="center" vertical="center"/>
      <protection/>
    </xf>
    <xf numFmtId="0" fontId="0" fillId="35" borderId="26"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7" xfId="0" applyFont="1" applyFill="1" applyBorder="1" applyAlignment="1">
      <alignment vertical="center" wrapText="1"/>
    </xf>
    <xf numFmtId="0" fontId="62" fillId="0" borderId="0" xfId="0" applyFont="1" applyFill="1" applyBorder="1" applyAlignment="1">
      <alignment vertical="center"/>
    </xf>
    <xf numFmtId="0" fontId="7" fillId="0" borderId="27" xfId="0" applyFont="1" applyFill="1" applyBorder="1" applyAlignment="1">
      <alignment vertical="center" wrapText="1"/>
    </xf>
    <xf numFmtId="0" fontId="62" fillId="36" borderId="28" xfId="0" applyFont="1" applyFill="1" applyBorder="1" applyAlignment="1">
      <alignment horizontal="center" vertical="center"/>
    </xf>
    <xf numFmtId="0" fontId="62" fillId="36" borderId="7" xfId="0" applyFont="1" applyFill="1" applyBorder="1" applyAlignment="1">
      <alignment horizontal="left" vertical="center"/>
    </xf>
    <xf numFmtId="0" fontId="62" fillId="36" borderId="7" xfId="0" applyFont="1" applyFill="1" applyBorder="1" applyAlignment="1">
      <alignment vertical="center" wrapText="1" shrinkToFit="1"/>
    </xf>
    <xf numFmtId="0" fontId="6" fillId="36" borderId="7" xfId="57" applyFont="1" applyFill="1">
      <alignment/>
      <protection/>
    </xf>
    <xf numFmtId="0" fontId="6" fillId="36" borderId="7" xfId="57" applyFont="1" applyFill="1" applyAlignment="1">
      <alignment horizontal="center"/>
      <protection/>
    </xf>
    <xf numFmtId="0" fontId="6" fillId="36" borderId="7" xfId="0" applyFont="1" applyFill="1" applyBorder="1" applyAlignment="1">
      <alignment horizontal="center"/>
    </xf>
    <xf numFmtId="0" fontId="6" fillId="36" borderId="7" xfId="0" applyFont="1" applyFill="1" applyBorder="1" applyAlignment="1">
      <alignment horizontal="right" wrapText="1"/>
    </xf>
    <xf numFmtId="0" fontId="7" fillId="36" borderId="27" xfId="0" applyFont="1" applyFill="1" applyBorder="1" applyAlignment="1">
      <alignment vertical="center" wrapText="1"/>
    </xf>
    <xf numFmtId="0" fontId="62" fillId="36" borderId="0" xfId="0" applyFont="1" applyFill="1" applyBorder="1" applyAlignment="1">
      <alignment vertical="center"/>
    </xf>
    <xf numFmtId="14" fontId="6" fillId="36" borderId="7" xfId="0" applyNumberFormat="1" applyFont="1" applyFill="1" applyBorder="1" applyAlignment="1">
      <alignment horizontal="right"/>
    </xf>
    <xf numFmtId="0" fontId="62" fillId="36" borderId="27" xfId="0" applyFont="1" applyFill="1" applyBorder="1" applyAlignment="1">
      <alignment horizontal="center" vertical="center"/>
    </xf>
    <xf numFmtId="0" fontId="62" fillId="36" borderId="0" xfId="0" applyFont="1" applyFill="1" applyBorder="1" applyAlignment="1">
      <alignment horizontal="center" vertical="center"/>
    </xf>
    <xf numFmtId="0" fontId="70" fillId="36" borderId="7" xfId="0" applyFont="1" applyFill="1" applyBorder="1" applyAlignment="1">
      <alignment vertical="center" wrapText="1" shrinkToFit="1"/>
    </xf>
    <xf numFmtId="49" fontId="6" fillId="36" borderId="7" xfId="57" applyNumberFormat="1" applyFont="1" applyFill="1" applyAlignment="1">
      <alignment horizontal="left"/>
      <protection/>
    </xf>
    <xf numFmtId="49" fontId="6" fillId="36" borderId="7" xfId="57" applyNumberFormat="1" applyFont="1" applyFill="1" applyAlignment="1">
      <alignment horizontal="left" wrapText="1"/>
      <protection/>
    </xf>
    <xf numFmtId="0" fontId="62" fillId="36" borderId="7" xfId="0" applyFont="1" applyFill="1" applyBorder="1" applyAlignment="1">
      <alignment horizontal="left" vertical="center" wrapText="1"/>
    </xf>
    <xf numFmtId="14" fontId="64" fillId="0" borderId="0" xfId="0" applyNumberFormat="1" applyFont="1" applyBorder="1" applyAlignment="1" applyProtection="1">
      <alignment vertical="center"/>
      <protection/>
    </xf>
    <xf numFmtId="166" fontId="64" fillId="0" borderId="0" xfId="0" applyNumberFormat="1" applyFont="1" applyBorder="1" applyAlignment="1" applyProtection="1">
      <alignment vertical="center"/>
      <protection/>
    </xf>
    <xf numFmtId="0" fontId="62" fillId="0" borderId="28" xfId="0" applyFont="1" applyFill="1" applyBorder="1" applyAlignment="1">
      <alignment horizontal="center" vertical="center"/>
    </xf>
    <xf numFmtId="0" fontId="6" fillId="32" borderId="7" xfId="57" applyFont="1">
      <alignment/>
      <protection/>
    </xf>
    <xf numFmtId="0" fontId="6" fillId="32" borderId="7" xfId="57" applyFont="1" applyAlignment="1">
      <alignment horizontal="center"/>
      <protection/>
    </xf>
    <xf numFmtId="0" fontId="6" fillId="0" borderId="7" xfId="0" applyFont="1" applyBorder="1" applyAlignment="1">
      <alignment horizontal="center"/>
    </xf>
    <xf numFmtId="0" fontId="6" fillId="0" borderId="7" xfId="0" applyFont="1" applyBorder="1" applyAlignment="1">
      <alignment horizontal="right" wrapText="1"/>
    </xf>
    <xf numFmtId="14" fontId="6" fillId="0" borderId="7" xfId="0" applyNumberFormat="1" applyFont="1" applyBorder="1" applyAlignment="1">
      <alignment horizontal="right"/>
    </xf>
    <xf numFmtId="0" fontId="62" fillId="0" borderId="0" xfId="0" applyFont="1" applyBorder="1" applyAlignment="1" applyProtection="1">
      <alignment horizontal="center" vertical="center"/>
      <protection/>
    </xf>
    <xf numFmtId="0" fontId="63" fillId="0" borderId="20" xfId="0" applyFont="1" applyBorder="1" applyAlignment="1" applyProtection="1">
      <alignment horizontal="center" vertical="center" shrinkToFit="1"/>
      <protection locked="0"/>
    </xf>
    <xf numFmtId="0" fontId="63" fillId="0" borderId="21" xfId="0" applyFont="1" applyBorder="1" applyAlignment="1" applyProtection="1">
      <alignment horizontal="center" vertical="center" shrinkToFit="1"/>
      <protection locked="0"/>
    </xf>
    <xf numFmtId="0" fontId="63" fillId="0" borderId="22" xfId="0" applyFont="1" applyBorder="1" applyAlignment="1" applyProtection="1">
      <alignment horizontal="center" vertical="center" shrinkToFit="1"/>
      <protection locked="0"/>
    </xf>
    <xf numFmtId="0" fontId="9" fillId="0" borderId="7" xfId="0" applyFont="1" applyFill="1" applyBorder="1" applyAlignment="1">
      <alignment horizontal="center" vertical="center"/>
    </xf>
    <xf numFmtId="0" fontId="7" fillId="0" borderId="7" xfId="0" applyFont="1" applyFill="1" applyBorder="1" applyAlignment="1">
      <alignment horizontal="center" vertical="center" wrapText="1" shrinkToFit="1"/>
    </xf>
    <xf numFmtId="166" fontId="9" fillId="0" borderId="7" xfId="0" applyNumberFormat="1" applyFont="1" applyFill="1" applyBorder="1" applyAlignment="1">
      <alignment horizontal="center" vertical="center"/>
    </xf>
    <xf numFmtId="0" fontId="7" fillId="0" borderId="7" xfId="0" applyNumberFormat="1" applyFont="1" applyFill="1" applyBorder="1" applyAlignment="1">
      <alignment horizontal="center" vertical="center" shrinkToFit="1"/>
    </xf>
    <xf numFmtId="0" fontId="9" fillId="0" borderId="7" xfId="0" applyFont="1" applyFill="1" applyBorder="1" applyAlignment="1">
      <alignment vertical="center"/>
    </xf>
    <xf numFmtId="0" fontId="9" fillId="0"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2</xdr:row>
      <xdr:rowOff>38100</xdr:rowOff>
    </xdr:from>
    <xdr:to>
      <xdr:col>6</xdr:col>
      <xdr:colOff>95250</xdr:colOff>
      <xdr:row>5</xdr:row>
      <xdr:rowOff>133350</xdr:rowOff>
    </xdr:to>
    <xdr:pic>
      <xdr:nvPicPr>
        <xdr:cNvPr id="1" name="Picture 14" descr="GNB Artwork.jpg"/>
        <xdr:cNvPicPr preferRelativeResize="1">
          <a:picLocks noChangeAspect="1"/>
        </xdr:cNvPicPr>
      </xdr:nvPicPr>
      <xdr:blipFill>
        <a:blip r:embed="rId1"/>
        <a:stretch>
          <a:fillRect/>
        </a:stretch>
      </xdr:blipFill>
      <xdr:spPr>
        <a:xfrm>
          <a:off x="95250" y="352425"/>
          <a:ext cx="1800225" cy="8096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19050</xdr:rowOff>
    </xdr:from>
    <xdr:to>
      <xdr:col>6</xdr:col>
      <xdr:colOff>47625</xdr:colOff>
      <xdr:row>5</xdr:row>
      <xdr:rowOff>76200</xdr:rowOff>
    </xdr:to>
    <xdr:pic>
      <xdr:nvPicPr>
        <xdr:cNvPr id="1" name="Picture 14" descr="GNB Artwork.jpg"/>
        <xdr:cNvPicPr preferRelativeResize="1">
          <a:picLocks noChangeAspect="1"/>
        </xdr:cNvPicPr>
      </xdr:nvPicPr>
      <xdr:blipFill>
        <a:blip r:embed="rId1"/>
        <a:stretch>
          <a:fillRect/>
        </a:stretch>
      </xdr:blipFill>
      <xdr:spPr>
        <a:xfrm>
          <a:off x="142875" y="333375"/>
          <a:ext cx="1704975" cy="7715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3</xdr:col>
      <xdr:colOff>190500</xdr:colOff>
      <xdr:row>3</xdr:row>
      <xdr:rowOff>9525</xdr:rowOff>
    </xdr:to>
    <xdr:pic>
      <xdr:nvPicPr>
        <xdr:cNvPr id="1" name="Picture 14" descr="GNB Artwork.jpg"/>
        <xdr:cNvPicPr preferRelativeResize="1">
          <a:picLocks noChangeAspect="1"/>
        </xdr:cNvPicPr>
      </xdr:nvPicPr>
      <xdr:blipFill>
        <a:blip r:embed="rId1"/>
        <a:stretch>
          <a:fillRect/>
        </a:stretch>
      </xdr:blipFill>
      <xdr:spPr>
        <a:xfrm>
          <a:off x="104775" y="171450"/>
          <a:ext cx="1114425" cy="5048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38100</xdr:rowOff>
    </xdr:from>
    <xdr:to>
      <xdr:col>6</xdr:col>
      <xdr:colOff>57150</xdr:colOff>
      <xdr:row>5</xdr:row>
      <xdr:rowOff>133350</xdr:rowOff>
    </xdr:to>
    <xdr:pic>
      <xdr:nvPicPr>
        <xdr:cNvPr id="1" name="Picture 14" descr="GNB Artwork.jpg"/>
        <xdr:cNvPicPr preferRelativeResize="1">
          <a:picLocks noChangeAspect="1"/>
        </xdr:cNvPicPr>
      </xdr:nvPicPr>
      <xdr:blipFill>
        <a:blip r:embed="rId1"/>
        <a:stretch>
          <a:fillRect/>
        </a:stretch>
      </xdr:blipFill>
      <xdr:spPr>
        <a:xfrm>
          <a:off x="76200" y="352425"/>
          <a:ext cx="1781175" cy="80962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0</xdr:colOff>
      <xdr:row>3</xdr:row>
      <xdr:rowOff>38100</xdr:rowOff>
    </xdr:to>
    <xdr:pic>
      <xdr:nvPicPr>
        <xdr:cNvPr id="1" name="Picture 14" descr="GNB Artwork.jpg"/>
        <xdr:cNvPicPr preferRelativeResize="1">
          <a:picLocks noChangeAspect="1"/>
        </xdr:cNvPicPr>
      </xdr:nvPicPr>
      <xdr:blipFill>
        <a:blip r:embed="rId1"/>
        <a:stretch>
          <a:fillRect/>
        </a:stretch>
      </xdr:blipFill>
      <xdr:spPr>
        <a:xfrm>
          <a:off x="104775" y="171450"/>
          <a:ext cx="1181100" cy="5334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171450</xdr:rowOff>
    </xdr:from>
    <xdr:to>
      <xdr:col>6</xdr:col>
      <xdr:colOff>76200</xdr:colOff>
      <xdr:row>5</xdr:row>
      <xdr:rowOff>76200</xdr:rowOff>
    </xdr:to>
    <xdr:pic>
      <xdr:nvPicPr>
        <xdr:cNvPr id="1" name="Picture 14" descr="GNB Artwork.jpg"/>
        <xdr:cNvPicPr preferRelativeResize="1">
          <a:picLocks noChangeAspect="1"/>
        </xdr:cNvPicPr>
      </xdr:nvPicPr>
      <xdr:blipFill>
        <a:blip r:embed="rId1"/>
        <a:stretch>
          <a:fillRect/>
        </a:stretch>
      </xdr:blipFill>
      <xdr:spPr>
        <a:xfrm>
          <a:off x="104775" y="295275"/>
          <a:ext cx="1771650" cy="809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135"/>
  <sheetViews>
    <sheetView tabSelected="1" zoomScale="70" zoomScaleNormal="70" zoomScaleSheetLayoutView="30" zoomScalePageLayoutView="0" workbookViewId="0" topLeftCell="A1">
      <selection activeCell="J99" sqref="J99"/>
    </sheetView>
  </sheetViews>
  <sheetFormatPr defaultColWidth="9.140625" defaultRowHeight="15"/>
  <cols>
    <col min="1" max="7" width="2.8515625" style="2" customWidth="1"/>
    <col min="8" max="8" width="5.57421875" style="1" customWidth="1"/>
    <col min="9" max="9" width="23.28125" style="10" customWidth="1"/>
    <col min="10" max="10" width="67.8515625" style="3" bestFit="1" customWidth="1"/>
    <col min="11" max="11" width="51.28125" style="3" hidden="1" customWidth="1"/>
    <col min="12" max="12" width="5.57421875" style="2" customWidth="1"/>
    <col min="13" max="13" width="7.00390625" style="2" customWidth="1"/>
    <col min="14" max="14" width="41.7109375" style="90" customWidth="1"/>
    <col min="15" max="15" width="10.7109375" style="4" customWidth="1"/>
    <col min="16" max="16" width="13.421875" style="12" customWidth="1"/>
    <col min="17" max="17" width="10.7109375" style="2" customWidth="1"/>
    <col min="18" max="18" width="49.7109375" style="91" customWidth="1"/>
    <col min="19" max="19" width="11.00390625" style="2" customWidth="1"/>
    <col min="20" max="20" width="11.00390625" style="1" customWidth="1"/>
    <col min="21" max="21" width="14.8515625" style="2" customWidth="1"/>
    <col min="22" max="22" width="194.7109375" style="74" customWidth="1"/>
    <col min="23" max="16384" width="9.140625" style="1" customWidth="1"/>
  </cols>
  <sheetData>
    <row r="1" spans="1:22" ht="35.25">
      <c r="A1" s="6"/>
      <c r="B1" s="6"/>
      <c r="C1" s="6"/>
      <c r="D1" s="6"/>
      <c r="E1" s="6"/>
      <c r="F1" s="6"/>
      <c r="G1" s="6"/>
      <c r="H1" s="7"/>
      <c r="I1" s="75" t="s">
        <v>385</v>
      </c>
      <c r="J1" s="76" t="s">
        <v>26</v>
      </c>
      <c r="K1" s="77"/>
      <c r="L1" s="78">
        <v>4</v>
      </c>
      <c r="M1" s="6"/>
      <c r="N1" s="80"/>
      <c r="O1" s="9"/>
      <c r="P1" s="79"/>
      <c r="Q1" s="6"/>
      <c r="R1" s="67"/>
      <c r="S1" s="6"/>
      <c r="T1" s="7"/>
      <c r="U1" s="6"/>
      <c r="V1" s="85" t="s">
        <v>324</v>
      </c>
    </row>
    <row r="2" spans="1:22" s="5" customFormat="1" ht="25.5">
      <c r="A2" s="73"/>
      <c r="B2" s="73"/>
      <c r="C2" s="6"/>
      <c r="D2" s="6" t="s">
        <v>27</v>
      </c>
      <c r="E2" s="6"/>
      <c r="F2" s="73"/>
      <c r="G2" s="73"/>
      <c r="H2" s="80"/>
      <c r="I2" s="80" t="s">
        <v>28</v>
      </c>
      <c r="J2" s="80" t="s">
        <v>29</v>
      </c>
      <c r="K2" s="80" t="s">
        <v>30</v>
      </c>
      <c r="L2" s="80" t="s">
        <v>4</v>
      </c>
      <c r="M2" s="81" t="s">
        <v>31</v>
      </c>
      <c r="N2" s="80" t="s">
        <v>32</v>
      </c>
      <c r="O2" s="82" t="s">
        <v>33</v>
      </c>
      <c r="P2" s="83" t="s">
        <v>34</v>
      </c>
      <c r="Q2" s="80" t="s">
        <v>35</v>
      </c>
      <c r="R2" s="88" t="s">
        <v>36</v>
      </c>
      <c r="S2" s="80" t="s">
        <v>2</v>
      </c>
      <c r="T2" s="80" t="s">
        <v>43</v>
      </c>
      <c r="U2" s="84" t="s">
        <v>44</v>
      </c>
      <c r="V2" s="88" t="s">
        <v>37</v>
      </c>
    </row>
    <row r="3" spans="1:22" ht="33" customHeight="1">
      <c r="A3" s="6"/>
      <c r="B3" s="6"/>
      <c r="C3" s="6"/>
      <c r="D3" s="6"/>
      <c r="E3" s="6"/>
      <c r="F3" s="6"/>
      <c r="G3" s="6"/>
      <c r="H3" s="7"/>
      <c r="I3" s="8" t="s">
        <v>331</v>
      </c>
      <c r="J3" s="67" t="s">
        <v>332</v>
      </c>
      <c r="K3" s="67"/>
      <c r="L3" s="6"/>
      <c r="M3" s="6">
        <f>IF(ISBLANK(L3),"",L3*$L$1)</f>
      </c>
      <c r="N3" s="89"/>
      <c r="O3" s="9"/>
      <c r="P3" s="72"/>
      <c r="Q3" s="6"/>
      <c r="R3" s="67"/>
      <c r="S3" s="6"/>
      <c r="T3" s="7"/>
      <c r="U3" s="6"/>
      <c r="V3" s="85"/>
    </row>
    <row r="4" spans="1:22" ht="33" customHeight="1">
      <c r="A4" s="6"/>
      <c r="B4" s="6"/>
      <c r="C4" s="6"/>
      <c r="D4" s="6"/>
      <c r="E4" s="6"/>
      <c r="F4" s="6"/>
      <c r="G4" s="6"/>
      <c r="H4" s="7"/>
      <c r="I4" s="8" t="str">
        <f>I3&amp;"ID"</f>
        <v>114145-00ID</v>
      </c>
      <c r="J4" s="67" t="s">
        <v>38</v>
      </c>
      <c r="K4" s="67"/>
      <c r="L4" s="6"/>
      <c r="M4" s="6">
        <f>IF(ISBLANK(L4),"",L4*$L$1)</f>
      </c>
      <c r="N4" s="89"/>
      <c r="O4" s="9"/>
      <c r="P4" s="72"/>
      <c r="Q4" s="6"/>
      <c r="R4" s="67"/>
      <c r="S4" s="6"/>
      <c r="T4" s="7"/>
      <c r="U4" s="6"/>
      <c r="V4" s="85"/>
    </row>
    <row r="5" spans="1:22" ht="33" customHeight="1">
      <c r="A5" s="6"/>
      <c r="B5" s="6"/>
      <c r="C5" s="6"/>
      <c r="D5" s="6"/>
      <c r="E5" s="6"/>
      <c r="F5" s="6"/>
      <c r="G5" s="6"/>
      <c r="H5" s="7"/>
      <c r="I5" s="8"/>
      <c r="J5" s="67"/>
      <c r="K5" s="67"/>
      <c r="L5" s="6"/>
      <c r="M5" s="6"/>
      <c r="N5" s="89"/>
      <c r="O5" s="9"/>
      <c r="P5" s="72"/>
      <c r="Q5" s="6"/>
      <c r="R5" s="67"/>
      <c r="S5" s="6"/>
      <c r="T5" s="7"/>
      <c r="U5" s="6"/>
      <c r="V5" s="85"/>
    </row>
    <row r="6" spans="1:22" ht="33" customHeight="1">
      <c r="A6" s="6">
        <v>1</v>
      </c>
      <c r="B6" s="6"/>
      <c r="C6" s="6"/>
      <c r="D6" s="6"/>
      <c r="E6" s="6"/>
      <c r="F6" s="6"/>
      <c r="G6" s="6"/>
      <c r="H6" s="7"/>
      <c r="I6" s="8" t="s">
        <v>335</v>
      </c>
      <c r="J6" s="67" t="s">
        <v>336</v>
      </c>
      <c r="K6" s="67" t="s">
        <v>39</v>
      </c>
      <c r="L6" s="6">
        <v>1</v>
      </c>
      <c r="M6" s="6">
        <f>$L$1*L6</f>
        <v>4</v>
      </c>
      <c r="N6" s="89" t="s">
        <v>136</v>
      </c>
      <c r="O6" s="9" t="str">
        <f>"1/07/11"</f>
        <v>1/07/11</v>
      </c>
      <c r="P6" s="72" t="s">
        <v>386</v>
      </c>
      <c r="Q6" s="6" t="s">
        <v>146</v>
      </c>
      <c r="R6" s="67" t="s">
        <v>39</v>
      </c>
      <c r="S6" s="6"/>
      <c r="T6" s="7"/>
      <c r="U6" s="9"/>
      <c r="V6" s="85"/>
    </row>
    <row r="7" spans="1:22" ht="33" customHeight="1">
      <c r="A7" s="6"/>
      <c r="B7" s="6">
        <v>2</v>
      </c>
      <c r="C7" s="6"/>
      <c r="D7" s="6"/>
      <c r="E7" s="6"/>
      <c r="F7" s="6"/>
      <c r="G7" s="6"/>
      <c r="H7" s="7"/>
      <c r="I7" s="68" t="s">
        <v>333</v>
      </c>
      <c r="J7" s="69" t="s">
        <v>334</v>
      </c>
      <c r="K7" s="69" t="s">
        <v>39</v>
      </c>
      <c r="L7" s="70">
        <v>1</v>
      </c>
      <c r="M7" s="6">
        <f>$L$1*L7</f>
        <v>4</v>
      </c>
      <c r="N7" s="89" t="s">
        <v>136</v>
      </c>
      <c r="O7" s="9" t="str">
        <f>TEXT($O$6-7,"m/d/yy")</f>
        <v>12/31/10</v>
      </c>
      <c r="P7" s="72" t="s">
        <v>387</v>
      </c>
      <c r="Q7" s="6" t="s">
        <v>146</v>
      </c>
      <c r="R7" s="67" t="s">
        <v>39</v>
      </c>
      <c r="S7" s="9"/>
      <c r="T7" s="7"/>
      <c r="U7" s="9"/>
      <c r="V7" s="85"/>
    </row>
    <row r="8" spans="1:22" ht="33" customHeight="1">
      <c r="A8" s="6"/>
      <c r="B8" s="6"/>
      <c r="C8" s="6">
        <v>3</v>
      </c>
      <c r="D8" s="6"/>
      <c r="E8" s="6"/>
      <c r="F8" s="6"/>
      <c r="G8" s="6"/>
      <c r="H8" s="7"/>
      <c r="I8" s="68" t="s">
        <v>341</v>
      </c>
      <c r="J8" s="69" t="s">
        <v>342</v>
      </c>
      <c r="K8" s="69"/>
      <c r="L8" s="70">
        <v>1</v>
      </c>
      <c r="M8" s="6">
        <f>$L$1*L8</f>
        <v>4</v>
      </c>
      <c r="N8" s="89" t="s">
        <v>136</v>
      </c>
      <c r="O8" s="9" t="str">
        <f>TEXT($O$7-7,"m/d/yy")</f>
        <v>12/24/10</v>
      </c>
      <c r="P8" s="72" t="s">
        <v>388</v>
      </c>
      <c r="Q8" s="6" t="s">
        <v>146</v>
      </c>
      <c r="R8" s="67" t="s">
        <v>39</v>
      </c>
      <c r="S8" s="9"/>
      <c r="T8" s="7"/>
      <c r="U8" s="9"/>
      <c r="V8" s="85"/>
    </row>
    <row r="9" spans="1:22" ht="33" customHeight="1">
      <c r="A9" s="6"/>
      <c r="B9" s="6"/>
      <c r="C9" s="6"/>
      <c r="D9" s="6">
        <v>4</v>
      </c>
      <c r="E9" s="6"/>
      <c r="F9" s="6"/>
      <c r="G9" s="6"/>
      <c r="H9" s="7"/>
      <c r="I9" s="68" t="s">
        <v>343</v>
      </c>
      <c r="J9" s="69" t="s">
        <v>344</v>
      </c>
      <c r="K9" s="69"/>
      <c r="L9" s="70">
        <v>1</v>
      </c>
      <c r="M9" s="6">
        <f>$L$1*L9</f>
        <v>4</v>
      </c>
      <c r="N9" s="89" t="s">
        <v>136</v>
      </c>
      <c r="O9" s="9" t="str">
        <f>TEXT($O$8-7,"m/d/yy")</f>
        <v>12/17/10</v>
      </c>
      <c r="P9" s="72" t="s">
        <v>389</v>
      </c>
      <c r="Q9" s="6" t="s">
        <v>146</v>
      </c>
      <c r="R9" s="67"/>
      <c r="S9" s="9"/>
      <c r="T9" s="7"/>
      <c r="U9" s="9"/>
      <c r="V9" s="85"/>
    </row>
    <row r="10" spans="1:22" ht="33" customHeight="1">
      <c r="A10" s="6"/>
      <c r="B10" s="6"/>
      <c r="C10" s="6"/>
      <c r="D10" s="6"/>
      <c r="E10" s="6">
        <v>5</v>
      </c>
      <c r="F10" s="6"/>
      <c r="G10" s="6"/>
      <c r="H10" s="7"/>
      <c r="I10" s="68" t="s">
        <v>346</v>
      </c>
      <c r="J10" s="69" t="s">
        <v>345</v>
      </c>
      <c r="K10" s="69"/>
      <c r="L10" s="70">
        <v>1</v>
      </c>
      <c r="M10" s="6">
        <f aca="true" t="shared" si="0" ref="M10:M85">$L$1*L10</f>
        <v>4</v>
      </c>
      <c r="N10" s="89" t="s">
        <v>136</v>
      </c>
      <c r="O10" s="9"/>
      <c r="P10" s="72"/>
      <c r="Q10" s="6" t="s">
        <v>145</v>
      </c>
      <c r="S10" s="6"/>
      <c r="T10" s="7"/>
      <c r="U10" s="9"/>
      <c r="V10" s="87"/>
    </row>
    <row r="11" spans="1:22" ht="41.25" customHeight="1">
      <c r="A11" s="6"/>
      <c r="B11" s="6"/>
      <c r="C11" s="6"/>
      <c r="D11" s="6"/>
      <c r="E11" s="6"/>
      <c r="F11" s="6">
        <v>6</v>
      </c>
      <c r="G11" s="6"/>
      <c r="H11" s="7"/>
      <c r="I11" s="68"/>
      <c r="J11" s="69" t="s">
        <v>68</v>
      </c>
      <c r="K11" s="69" t="s">
        <v>347</v>
      </c>
      <c r="L11" s="70">
        <v>1</v>
      </c>
      <c r="M11" s="6">
        <f t="shared" si="0"/>
        <v>4</v>
      </c>
      <c r="N11" s="89" t="s">
        <v>136</v>
      </c>
      <c r="O11" s="9"/>
      <c r="P11" s="72"/>
      <c r="Q11" s="6" t="s">
        <v>145</v>
      </c>
      <c r="R11" s="71" t="s">
        <v>366</v>
      </c>
      <c r="S11" s="9" t="str">
        <f>TEXT($O$9-7,"m/d/yy")</f>
        <v>12/10/10</v>
      </c>
      <c r="T11" s="7"/>
      <c r="U11" s="9"/>
      <c r="V11" s="86" t="s">
        <v>329</v>
      </c>
    </row>
    <row r="12" spans="1:22" ht="33" customHeight="1">
      <c r="A12" s="6"/>
      <c r="B12" s="6"/>
      <c r="C12" s="6"/>
      <c r="D12" s="6"/>
      <c r="E12" s="6"/>
      <c r="F12" s="6"/>
      <c r="G12" s="6">
        <v>7</v>
      </c>
      <c r="H12" s="7"/>
      <c r="I12" s="68"/>
      <c r="J12" s="69" t="s">
        <v>348</v>
      </c>
      <c r="K12" s="69" t="s">
        <v>348</v>
      </c>
      <c r="L12" s="70">
        <v>1</v>
      </c>
      <c r="M12" s="6">
        <f t="shared" si="0"/>
        <v>4</v>
      </c>
      <c r="N12" s="89" t="s">
        <v>136</v>
      </c>
      <c r="O12" s="9"/>
      <c r="P12" s="72"/>
      <c r="Q12" s="6" t="s">
        <v>145</v>
      </c>
      <c r="R12" s="71" t="s">
        <v>348</v>
      </c>
      <c r="S12" s="9">
        <v>40497</v>
      </c>
      <c r="T12" s="7"/>
      <c r="U12" s="9"/>
      <c r="V12" s="86" t="s">
        <v>326</v>
      </c>
    </row>
    <row r="13" spans="1:22" ht="33" customHeight="1">
      <c r="A13" s="6"/>
      <c r="B13" s="6"/>
      <c r="C13" s="6"/>
      <c r="D13" s="6"/>
      <c r="E13" s="6">
        <v>5</v>
      </c>
      <c r="F13" s="6"/>
      <c r="G13" s="6"/>
      <c r="H13" s="7"/>
      <c r="I13" s="68" t="s">
        <v>113</v>
      </c>
      <c r="J13" s="69" t="s">
        <v>69</v>
      </c>
      <c r="K13" s="7"/>
      <c r="L13" s="70">
        <v>6</v>
      </c>
      <c r="M13" s="6">
        <f t="shared" si="0"/>
        <v>24</v>
      </c>
      <c r="N13" s="89" t="s">
        <v>136</v>
      </c>
      <c r="O13" s="9" t="str">
        <f>TEXT($O$9-7,"m/d/yy")</f>
        <v>12/10/10</v>
      </c>
      <c r="P13" s="72" t="s">
        <v>390</v>
      </c>
      <c r="Q13" s="6" t="s">
        <v>146</v>
      </c>
      <c r="R13" s="67"/>
      <c r="S13" s="9"/>
      <c r="T13" s="7"/>
      <c r="U13" s="9"/>
      <c r="V13" s="85"/>
    </row>
    <row r="14" spans="1:22" ht="33" customHeight="1">
      <c r="A14" s="6"/>
      <c r="B14" s="6"/>
      <c r="C14" s="6"/>
      <c r="D14" s="6"/>
      <c r="E14" s="6"/>
      <c r="F14" s="6">
        <v>6</v>
      </c>
      <c r="G14" s="6"/>
      <c r="H14" s="7"/>
      <c r="I14" s="68"/>
      <c r="J14" s="71" t="s">
        <v>148</v>
      </c>
      <c r="K14" s="69" t="s">
        <v>147</v>
      </c>
      <c r="L14" s="70">
        <v>6</v>
      </c>
      <c r="M14" s="6">
        <f t="shared" si="0"/>
        <v>24</v>
      </c>
      <c r="N14" s="89" t="s">
        <v>136</v>
      </c>
      <c r="O14" s="72"/>
      <c r="P14" s="72"/>
      <c r="Q14" s="6" t="s">
        <v>145</v>
      </c>
      <c r="R14" s="71" t="s">
        <v>148</v>
      </c>
      <c r="S14" s="9" t="str">
        <f>TEXT(O13-7,"M/D/Y")</f>
        <v>12/3/10</v>
      </c>
      <c r="T14" s="7"/>
      <c r="U14" s="9"/>
      <c r="V14" s="110" t="s">
        <v>327</v>
      </c>
    </row>
    <row r="15" spans="1:22" ht="33" customHeight="1">
      <c r="A15" s="6"/>
      <c r="B15" s="6"/>
      <c r="C15" s="6"/>
      <c r="D15" s="6"/>
      <c r="E15" s="6">
        <v>5</v>
      </c>
      <c r="F15" s="6"/>
      <c r="G15" s="6"/>
      <c r="H15" s="7"/>
      <c r="I15" s="68" t="s">
        <v>114</v>
      </c>
      <c r="J15" s="69" t="s">
        <v>70</v>
      </c>
      <c r="K15" s="7"/>
      <c r="L15" s="70">
        <v>1</v>
      </c>
      <c r="M15" s="6">
        <f t="shared" si="0"/>
        <v>4</v>
      </c>
      <c r="N15" s="89" t="s">
        <v>136</v>
      </c>
      <c r="O15" s="9" t="str">
        <f>TEXT($O$9-7,"m/d/yy")</f>
        <v>12/10/10</v>
      </c>
      <c r="P15" s="72" t="s">
        <v>391</v>
      </c>
      <c r="Q15" s="6" t="s">
        <v>146</v>
      </c>
      <c r="R15" s="67"/>
      <c r="S15" s="9"/>
      <c r="T15" s="7"/>
      <c r="U15" s="9"/>
      <c r="V15" s="85"/>
    </row>
    <row r="16" spans="1:22" ht="33" customHeight="1">
      <c r="A16" s="6"/>
      <c r="B16" s="6"/>
      <c r="C16" s="6"/>
      <c r="D16" s="6"/>
      <c r="E16" s="6"/>
      <c r="F16" s="6">
        <v>6</v>
      </c>
      <c r="G16" s="6"/>
      <c r="H16" s="7"/>
      <c r="I16" s="68"/>
      <c r="J16" s="71" t="s">
        <v>149</v>
      </c>
      <c r="K16" s="69" t="s">
        <v>71</v>
      </c>
      <c r="L16" s="70">
        <v>1</v>
      </c>
      <c r="M16" s="6">
        <f t="shared" si="0"/>
        <v>4</v>
      </c>
      <c r="N16" s="89" t="s">
        <v>136</v>
      </c>
      <c r="O16" s="9"/>
      <c r="P16" s="72"/>
      <c r="Q16" s="6" t="s">
        <v>145</v>
      </c>
      <c r="R16" s="71" t="s">
        <v>149</v>
      </c>
      <c r="S16" s="9" t="str">
        <f>TEXT(O15-7,"M/D/Y")</f>
        <v>12/3/10</v>
      </c>
      <c r="T16" s="7"/>
      <c r="U16" s="9"/>
      <c r="V16" s="110" t="s">
        <v>327</v>
      </c>
    </row>
    <row r="17" spans="1:22" ht="33" customHeight="1">
      <c r="A17" s="6"/>
      <c r="B17" s="6"/>
      <c r="C17" s="6"/>
      <c r="D17" s="6"/>
      <c r="E17" s="6">
        <v>5</v>
      </c>
      <c r="F17" s="6"/>
      <c r="G17" s="6"/>
      <c r="H17" s="7"/>
      <c r="I17" s="68" t="s">
        <v>115</v>
      </c>
      <c r="J17" s="69" t="s">
        <v>72</v>
      </c>
      <c r="K17" s="7"/>
      <c r="L17" s="70">
        <v>2</v>
      </c>
      <c r="M17" s="6">
        <f t="shared" si="0"/>
        <v>8</v>
      </c>
      <c r="N17" s="89" t="s">
        <v>136</v>
      </c>
      <c r="O17" s="9" t="str">
        <f>TEXT($O$9-7,"m/d/yy")</f>
        <v>12/10/10</v>
      </c>
      <c r="P17" s="72" t="s">
        <v>392</v>
      </c>
      <c r="Q17" s="6" t="s">
        <v>146</v>
      </c>
      <c r="R17" s="67"/>
      <c r="S17" s="9"/>
      <c r="T17" s="7"/>
      <c r="U17" s="9"/>
      <c r="V17" s="85"/>
    </row>
    <row r="18" spans="1:22" ht="33" customHeight="1">
      <c r="A18" s="6"/>
      <c r="B18" s="6"/>
      <c r="C18" s="6"/>
      <c r="D18" s="6"/>
      <c r="E18" s="6"/>
      <c r="F18" s="6">
        <v>6</v>
      </c>
      <c r="G18" s="6"/>
      <c r="H18" s="7"/>
      <c r="I18" s="68"/>
      <c r="J18" s="71" t="s">
        <v>150</v>
      </c>
      <c r="K18" s="69" t="s">
        <v>73</v>
      </c>
      <c r="L18" s="70">
        <v>2</v>
      </c>
      <c r="M18" s="6">
        <f t="shared" si="0"/>
        <v>8</v>
      </c>
      <c r="N18" s="89" t="s">
        <v>136</v>
      </c>
      <c r="O18" s="9"/>
      <c r="P18" s="72"/>
      <c r="Q18" s="6" t="s">
        <v>145</v>
      </c>
      <c r="R18" s="71" t="s">
        <v>150</v>
      </c>
      <c r="S18" s="9" t="str">
        <f>TEXT(O17-7,"M/D/Y")</f>
        <v>12/3/10</v>
      </c>
      <c r="T18" s="7"/>
      <c r="U18" s="9"/>
      <c r="V18" s="110" t="s">
        <v>327</v>
      </c>
    </row>
    <row r="19" spans="1:22" ht="33" customHeight="1">
      <c r="A19" s="6"/>
      <c r="B19" s="6"/>
      <c r="C19" s="6"/>
      <c r="D19" s="6"/>
      <c r="E19" s="6">
        <v>5</v>
      </c>
      <c r="F19" s="6"/>
      <c r="G19" s="6"/>
      <c r="H19" s="7"/>
      <c r="I19" s="68" t="s">
        <v>116</v>
      </c>
      <c r="J19" s="69" t="s">
        <v>74</v>
      </c>
      <c r="K19" s="69"/>
      <c r="L19" s="70">
        <v>2</v>
      </c>
      <c r="M19" s="6">
        <f t="shared" si="0"/>
        <v>8</v>
      </c>
      <c r="N19" s="89" t="s">
        <v>136</v>
      </c>
      <c r="O19" s="9" t="str">
        <f>TEXT($O$9-7,"m/d/yy")</f>
        <v>12/10/10</v>
      </c>
      <c r="P19" s="72" t="s">
        <v>393</v>
      </c>
      <c r="Q19" s="6" t="s">
        <v>146</v>
      </c>
      <c r="R19" s="67"/>
      <c r="S19" s="9"/>
      <c r="T19" s="7"/>
      <c r="U19" s="9"/>
      <c r="V19" s="85"/>
    </row>
    <row r="20" spans="1:22" ht="33" customHeight="1">
      <c r="A20" s="6"/>
      <c r="B20" s="6"/>
      <c r="C20" s="6"/>
      <c r="D20" s="6"/>
      <c r="E20" s="6"/>
      <c r="F20" s="6">
        <v>6</v>
      </c>
      <c r="G20" s="6"/>
      <c r="H20" s="7"/>
      <c r="I20" s="68" t="s">
        <v>117</v>
      </c>
      <c r="J20" s="69" t="s">
        <v>75</v>
      </c>
      <c r="K20" s="7"/>
      <c r="L20" s="70">
        <v>2</v>
      </c>
      <c r="M20" s="6">
        <f t="shared" si="0"/>
        <v>8</v>
      </c>
      <c r="N20" s="89" t="s">
        <v>136</v>
      </c>
      <c r="O20" s="9" t="str">
        <f>TEXT($O$13-7,"m/d/yy")</f>
        <v>12/3/10</v>
      </c>
      <c r="P20" s="72" t="s">
        <v>394</v>
      </c>
      <c r="Q20" s="6" t="s">
        <v>146</v>
      </c>
      <c r="R20" s="67"/>
      <c r="S20" s="9"/>
      <c r="T20" s="7"/>
      <c r="U20" s="9"/>
      <c r="V20" s="85"/>
    </row>
    <row r="21" spans="1:22" ht="33" customHeight="1">
      <c r="A21" s="6"/>
      <c r="B21" s="6"/>
      <c r="C21" s="6"/>
      <c r="D21" s="6"/>
      <c r="E21" s="6"/>
      <c r="F21" s="6"/>
      <c r="G21" s="6">
        <v>7</v>
      </c>
      <c r="H21" s="7"/>
      <c r="I21" s="68"/>
      <c r="J21" s="71" t="s">
        <v>151</v>
      </c>
      <c r="K21" s="69" t="s">
        <v>76</v>
      </c>
      <c r="L21" s="70">
        <v>2</v>
      </c>
      <c r="M21" s="6">
        <f t="shared" si="0"/>
        <v>8</v>
      </c>
      <c r="N21" s="89" t="s">
        <v>136</v>
      </c>
      <c r="O21" s="9"/>
      <c r="P21" s="72"/>
      <c r="Q21" s="6" t="s">
        <v>145</v>
      </c>
      <c r="R21" s="71" t="s">
        <v>151</v>
      </c>
      <c r="S21" s="9" t="str">
        <f>TEXT(O20-7,"M/D/Y")</f>
        <v>11/26/10</v>
      </c>
      <c r="T21" s="7"/>
      <c r="U21" s="9"/>
      <c r="V21" s="110" t="s">
        <v>327</v>
      </c>
    </row>
    <row r="22" spans="1:22" ht="33" customHeight="1">
      <c r="A22" s="6"/>
      <c r="B22" s="6"/>
      <c r="C22" s="6"/>
      <c r="D22" s="6"/>
      <c r="E22" s="6"/>
      <c r="F22" s="6">
        <v>6</v>
      </c>
      <c r="G22" s="6"/>
      <c r="H22" s="7"/>
      <c r="I22" s="68" t="s">
        <v>118</v>
      </c>
      <c r="J22" s="69" t="s">
        <v>77</v>
      </c>
      <c r="K22" s="7"/>
      <c r="L22" s="70">
        <v>2</v>
      </c>
      <c r="M22" s="6">
        <f t="shared" si="0"/>
        <v>8</v>
      </c>
      <c r="N22" s="89" t="s">
        <v>136</v>
      </c>
      <c r="O22" s="9" t="str">
        <f>TEXT($O$13-7,"m/d/yy")</f>
        <v>12/3/10</v>
      </c>
      <c r="P22" s="72" t="s">
        <v>395</v>
      </c>
      <c r="Q22" s="6" t="s">
        <v>146</v>
      </c>
      <c r="R22" s="67"/>
      <c r="S22" s="9"/>
      <c r="T22" s="7"/>
      <c r="U22" s="9"/>
      <c r="V22" s="85"/>
    </row>
    <row r="23" spans="1:22" ht="33" customHeight="1">
      <c r="A23" s="6"/>
      <c r="B23" s="6"/>
      <c r="C23" s="6"/>
      <c r="D23" s="6"/>
      <c r="E23" s="6"/>
      <c r="F23" s="6"/>
      <c r="G23" s="6">
        <v>7</v>
      </c>
      <c r="H23" s="7"/>
      <c r="I23" s="68"/>
      <c r="J23" s="71" t="s">
        <v>152</v>
      </c>
      <c r="K23" s="69" t="s">
        <v>78</v>
      </c>
      <c r="L23" s="70">
        <v>2</v>
      </c>
      <c r="M23" s="6">
        <f t="shared" si="0"/>
        <v>8</v>
      </c>
      <c r="N23" s="89" t="s">
        <v>136</v>
      </c>
      <c r="O23" s="9"/>
      <c r="P23" s="72"/>
      <c r="Q23" s="6" t="s">
        <v>145</v>
      </c>
      <c r="R23" s="71" t="s">
        <v>152</v>
      </c>
      <c r="S23" s="9" t="str">
        <f>TEXT(O22-7,"M/D/Y")</f>
        <v>11/26/10</v>
      </c>
      <c r="T23" s="7"/>
      <c r="U23" s="9"/>
      <c r="V23" s="110" t="s">
        <v>327</v>
      </c>
    </row>
    <row r="24" spans="1:22" ht="33" customHeight="1">
      <c r="A24" s="6"/>
      <c r="B24" s="6"/>
      <c r="C24" s="6"/>
      <c r="D24" s="6"/>
      <c r="E24" s="6">
        <v>5</v>
      </c>
      <c r="F24" s="6" t="s">
        <v>96</v>
      </c>
      <c r="G24" s="6"/>
      <c r="H24" s="7"/>
      <c r="I24" s="68" t="s">
        <v>230</v>
      </c>
      <c r="J24" s="69" t="s">
        <v>222</v>
      </c>
      <c r="K24" s="69"/>
      <c r="L24" s="70">
        <v>2</v>
      </c>
      <c r="M24" s="6">
        <f t="shared" si="0"/>
        <v>8</v>
      </c>
      <c r="N24" s="89" t="s">
        <v>136</v>
      </c>
      <c r="O24" s="9" t="str">
        <f>TEXT($O$9-7,"m/d/yy")</f>
        <v>12/10/10</v>
      </c>
      <c r="P24" s="72" t="s">
        <v>396</v>
      </c>
      <c r="Q24" s="6" t="s">
        <v>146</v>
      </c>
      <c r="R24" s="71"/>
      <c r="S24" s="9"/>
      <c r="T24" s="7"/>
      <c r="U24" s="9"/>
      <c r="V24" s="85"/>
    </row>
    <row r="25" spans="1:22" ht="33" customHeight="1">
      <c r="A25" s="6"/>
      <c r="B25" s="6"/>
      <c r="C25" s="6"/>
      <c r="D25" s="6"/>
      <c r="E25" s="6"/>
      <c r="F25" s="6">
        <v>6</v>
      </c>
      <c r="G25" s="6" t="s">
        <v>96</v>
      </c>
      <c r="H25" s="7"/>
      <c r="I25" s="68"/>
      <c r="J25" s="69" t="s">
        <v>151</v>
      </c>
      <c r="K25" s="69" t="s">
        <v>76</v>
      </c>
      <c r="L25" s="70">
        <v>2</v>
      </c>
      <c r="M25" s="6">
        <f t="shared" si="0"/>
        <v>8</v>
      </c>
      <c r="N25" s="89" t="s">
        <v>136</v>
      </c>
      <c r="O25" s="9"/>
      <c r="P25" s="72"/>
      <c r="Q25" s="6" t="s">
        <v>145</v>
      </c>
      <c r="R25" s="71" t="s">
        <v>151</v>
      </c>
      <c r="S25" s="9" t="str">
        <f>TEXT(O24-7,"M/D/Y")</f>
        <v>12/3/10</v>
      </c>
      <c r="T25" s="7"/>
      <c r="U25" s="9"/>
      <c r="V25" s="110" t="s">
        <v>327</v>
      </c>
    </row>
    <row r="26" spans="1:22" ht="33" customHeight="1">
      <c r="A26" s="6"/>
      <c r="B26" s="6"/>
      <c r="C26" s="6">
        <v>3</v>
      </c>
      <c r="D26" s="6"/>
      <c r="E26" s="6"/>
      <c r="F26" s="6"/>
      <c r="G26" s="6"/>
      <c r="H26" s="7"/>
      <c r="I26" s="68" t="s">
        <v>349</v>
      </c>
      <c r="J26" s="69" t="s">
        <v>350</v>
      </c>
      <c r="K26" s="69"/>
      <c r="L26" s="70">
        <v>1</v>
      </c>
      <c r="M26" s="6">
        <f t="shared" si="0"/>
        <v>4</v>
      </c>
      <c r="N26" s="89" t="s">
        <v>136</v>
      </c>
      <c r="O26" s="9" t="str">
        <f>TEXT($O$7-7,"m/d/yy")</f>
        <v>12/24/10</v>
      </c>
      <c r="P26" s="72" t="s">
        <v>397</v>
      </c>
      <c r="Q26" s="6" t="s">
        <v>146</v>
      </c>
      <c r="R26" s="67"/>
      <c r="S26" s="9"/>
      <c r="T26" s="7"/>
      <c r="U26" s="9"/>
      <c r="V26" s="85"/>
    </row>
    <row r="27" spans="1:22" ht="33" customHeight="1">
      <c r="A27" s="6"/>
      <c r="B27" s="6"/>
      <c r="C27" s="6"/>
      <c r="D27" s="6">
        <v>4</v>
      </c>
      <c r="E27" s="6"/>
      <c r="F27" s="6"/>
      <c r="G27" s="6"/>
      <c r="H27" s="6"/>
      <c r="I27" s="8" t="s">
        <v>351</v>
      </c>
      <c r="J27" s="8" t="s">
        <v>338</v>
      </c>
      <c r="K27" s="6"/>
      <c r="L27" s="6">
        <v>1</v>
      </c>
      <c r="M27" s="6">
        <f t="shared" si="0"/>
        <v>4</v>
      </c>
      <c r="N27" s="89" t="s">
        <v>136</v>
      </c>
      <c r="O27" s="9" t="str">
        <f>TEXT($O$8-7,"m/d/yy")</f>
        <v>12/17/10</v>
      </c>
      <c r="P27" s="72" t="s">
        <v>398</v>
      </c>
      <c r="Q27" s="6" t="s">
        <v>146</v>
      </c>
      <c r="R27" s="67"/>
      <c r="S27" s="9"/>
      <c r="T27" s="7"/>
      <c r="U27" s="9"/>
      <c r="V27" s="85"/>
    </row>
    <row r="28" spans="1:22" ht="33" customHeight="1">
      <c r="A28" s="6"/>
      <c r="B28" s="6"/>
      <c r="C28" s="6"/>
      <c r="D28" s="6"/>
      <c r="E28" s="6">
        <v>5</v>
      </c>
      <c r="F28" s="6"/>
      <c r="G28" s="6"/>
      <c r="H28" s="6"/>
      <c r="I28" s="68" t="s">
        <v>346</v>
      </c>
      <c r="J28" s="69" t="s">
        <v>337</v>
      </c>
      <c r="K28" s="7"/>
      <c r="L28" s="70">
        <v>1</v>
      </c>
      <c r="M28" s="6">
        <f t="shared" si="0"/>
        <v>4</v>
      </c>
      <c r="N28" s="89" t="s">
        <v>136</v>
      </c>
      <c r="O28" s="9" t="str">
        <f>TEXT($O$9-7,"m/d/yy")</f>
        <v>12/10/10</v>
      </c>
      <c r="P28" s="72"/>
      <c r="Q28" s="6" t="s">
        <v>146</v>
      </c>
      <c r="R28" s="67"/>
      <c r="S28" s="9"/>
      <c r="T28" s="7"/>
      <c r="U28" s="9"/>
      <c r="V28" s="85"/>
    </row>
    <row r="29" spans="1:22" ht="33" customHeight="1">
      <c r="A29" s="6"/>
      <c r="B29" s="6"/>
      <c r="C29" s="6"/>
      <c r="D29" s="6"/>
      <c r="E29" s="6"/>
      <c r="F29" s="6">
        <v>6</v>
      </c>
      <c r="G29" s="6"/>
      <c r="H29" s="6"/>
      <c r="I29" s="68"/>
      <c r="J29" s="69" t="s">
        <v>347</v>
      </c>
      <c r="K29" s="69" t="s">
        <v>347</v>
      </c>
      <c r="L29" s="70">
        <v>1</v>
      </c>
      <c r="M29" s="6">
        <f t="shared" si="0"/>
        <v>4</v>
      </c>
      <c r="N29" s="89" t="s">
        <v>136</v>
      </c>
      <c r="O29" s="9"/>
      <c r="P29" s="72"/>
      <c r="Q29" s="6" t="s">
        <v>145</v>
      </c>
      <c r="R29" s="71" t="s">
        <v>366</v>
      </c>
      <c r="S29" s="9" t="str">
        <f>TEXT(O28-7,"M/D/Y")</f>
        <v>12/3/10</v>
      </c>
      <c r="T29" s="7"/>
      <c r="U29" s="9"/>
      <c r="V29" s="86" t="s">
        <v>329</v>
      </c>
    </row>
    <row r="30" spans="1:22" ht="33" customHeight="1">
      <c r="A30" s="6"/>
      <c r="B30" s="6"/>
      <c r="C30" s="6"/>
      <c r="D30" s="6"/>
      <c r="E30" s="6"/>
      <c r="F30" s="6"/>
      <c r="G30" s="6">
        <v>7</v>
      </c>
      <c r="H30" s="6"/>
      <c r="I30" s="68"/>
      <c r="J30" s="69" t="s">
        <v>348</v>
      </c>
      <c r="K30" s="69" t="s">
        <v>348</v>
      </c>
      <c r="L30" s="70">
        <v>1</v>
      </c>
      <c r="M30" s="6">
        <f>$L$1*L30</f>
        <v>4</v>
      </c>
      <c r="N30" s="89" t="s">
        <v>136</v>
      </c>
      <c r="O30" s="9"/>
      <c r="P30" s="72"/>
      <c r="Q30" s="6" t="s">
        <v>145</v>
      </c>
      <c r="R30" s="71" t="s">
        <v>348</v>
      </c>
      <c r="S30" s="9" t="str">
        <f>TEXT(O28-7,"M/D/Y")</f>
        <v>12/3/10</v>
      </c>
      <c r="T30" s="7"/>
      <c r="U30" s="9"/>
      <c r="V30" s="86" t="s">
        <v>326</v>
      </c>
    </row>
    <row r="31" spans="1:22" ht="33" customHeight="1">
      <c r="A31" s="6"/>
      <c r="B31" s="6"/>
      <c r="C31" s="6"/>
      <c r="D31" s="6"/>
      <c r="E31" s="6">
        <v>5</v>
      </c>
      <c r="F31" s="6"/>
      <c r="G31" s="6"/>
      <c r="H31" s="6"/>
      <c r="I31" s="68" t="s">
        <v>113</v>
      </c>
      <c r="J31" s="69" t="s">
        <v>69</v>
      </c>
      <c r="K31" s="7"/>
      <c r="L31" s="70">
        <v>6</v>
      </c>
      <c r="M31" s="6">
        <f t="shared" si="0"/>
        <v>24</v>
      </c>
      <c r="N31" s="89" t="s">
        <v>136</v>
      </c>
      <c r="O31" s="9" t="str">
        <f>TEXT($O$9-7,"m/d/yy")</f>
        <v>12/10/10</v>
      </c>
      <c r="P31" s="72" t="s">
        <v>399</v>
      </c>
      <c r="Q31" s="6" t="s">
        <v>146</v>
      </c>
      <c r="R31" s="67"/>
      <c r="S31" s="9"/>
      <c r="T31" s="7"/>
      <c r="U31" s="9"/>
      <c r="V31" s="85"/>
    </row>
    <row r="32" spans="1:22" ht="33" customHeight="1">
      <c r="A32" s="6"/>
      <c r="B32" s="6"/>
      <c r="C32" s="6"/>
      <c r="D32" s="6"/>
      <c r="E32" s="6"/>
      <c r="F32" s="6">
        <v>6</v>
      </c>
      <c r="G32" s="6"/>
      <c r="H32" s="6"/>
      <c r="I32" s="68"/>
      <c r="J32" s="71" t="s">
        <v>148</v>
      </c>
      <c r="K32" s="69" t="s">
        <v>147</v>
      </c>
      <c r="L32" s="70">
        <v>6</v>
      </c>
      <c r="M32" s="6">
        <f t="shared" si="0"/>
        <v>24</v>
      </c>
      <c r="N32" s="89" t="s">
        <v>136</v>
      </c>
      <c r="O32" s="9"/>
      <c r="P32" s="72"/>
      <c r="Q32" s="6" t="s">
        <v>145</v>
      </c>
      <c r="R32" s="71" t="s">
        <v>148</v>
      </c>
      <c r="S32" s="9" t="str">
        <f>TEXT(O31-7,"M/D/Y")</f>
        <v>12/3/10</v>
      </c>
      <c r="T32" s="7"/>
      <c r="U32" s="9"/>
      <c r="V32" s="110" t="s">
        <v>327</v>
      </c>
    </row>
    <row r="33" spans="1:22" ht="33" customHeight="1">
      <c r="A33" s="6"/>
      <c r="B33" s="6"/>
      <c r="C33" s="6"/>
      <c r="D33" s="6"/>
      <c r="E33" s="6">
        <v>5</v>
      </c>
      <c r="F33" s="6"/>
      <c r="G33" s="6"/>
      <c r="H33" s="6"/>
      <c r="I33" s="68" t="s">
        <v>114</v>
      </c>
      <c r="J33" s="69" t="s">
        <v>70</v>
      </c>
      <c r="K33" s="7"/>
      <c r="L33" s="70">
        <v>1</v>
      </c>
      <c r="M33" s="6">
        <f t="shared" si="0"/>
        <v>4</v>
      </c>
      <c r="N33" s="89" t="s">
        <v>136</v>
      </c>
      <c r="O33" s="9" t="str">
        <f>TEXT($O$9-7,"m/d/yy")</f>
        <v>12/10/10</v>
      </c>
      <c r="P33" s="72" t="s">
        <v>400</v>
      </c>
      <c r="Q33" s="6" t="s">
        <v>146</v>
      </c>
      <c r="R33" s="67"/>
      <c r="S33" s="9"/>
      <c r="T33" s="7"/>
      <c r="U33" s="9"/>
      <c r="V33" s="85"/>
    </row>
    <row r="34" spans="1:22" ht="33" customHeight="1">
      <c r="A34" s="6"/>
      <c r="B34" s="6"/>
      <c r="C34" s="6"/>
      <c r="D34" s="6"/>
      <c r="E34" s="6"/>
      <c r="F34" s="6">
        <v>6</v>
      </c>
      <c r="G34" s="6"/>
      <c r="H34" s="6"/>
      <c r="I34" s="68"/>
      <c r="J34" s="71" t="s">
        <v>149</v>
      </c>
      <c r="K34" s="69" t="s">
        <v>71</v>
      </c>
      <c r="L34" s="70">
        <v>1</v>
      </c>
      <c r="M34" s="6">
        <f t="shared" si="0"/>
        <v>4</v>
      </c>
      <c r="N34" s="89" t="s">
        <v>136</v>
      </c>
      <c r="O34" s="9"/>
      <c r="P34" s="72"/>
      <c r="Q34" s="6" t="s">
        <v>145</v>
      </c>
      <c r="R34" s="71" t="s">
        <v>149</v>
      </c>
      <c r="S34" s="9" t="str">
        <f>TEXT(O33-7,"M/D/Y")</f>
        <v>12/3/10</v>
      </c>
      <c r="T34" s="7"/>
      <c r="U34" s="9"/>
      <c r="V34" s="110" t="s">
        <v>327</v>
      </c>
    </row>
    <row r="35" spans="1:22" ht="33" customHeight="1">
      <c r="A35" s="6"/>
      <c r="B35" s="6"/>
      <c r="C35" s="6"/>
      <c r="D35" s="6"/>
      <c r="E35" s="6">
        <v>5</v>
      </c>
      <c r="F35" s="6"/>
      <c r="G35" s="6"/>
      <c r="H35" s="6"/>
      <c r="I35" s="68" t="s">
        <v>115</v>
      </c>
      <c r="J35" s="69" t="s">
        <v>72</v>
      </c>
      <c r="K35" s="7"/>
      <c r="L35" s="70">
        <v>2</v>
      </c>
      <c r="M35" s="6">
        <f t="shared" si="0"/>
        <v>8</v>
      </c>
      <c r="N35" s="89" t="s">
        <v>136</v>
      </c>
      <c r="O35" s="9" t="str">
        <f>TEXT($O$9-7,"m/d/yy")</f>
        <v>12/10/10</v>
      </c>
      <c r="P35" s="72" t="s">
        <v>401</v>
      </c>
      <c r="Q35" s="6" t="s">
        <v>146</v>
      </c>
      <c r="R35" s="67"/>
      <c r="S35" s="9"/>
      <c r="T35" s="7"/>
      <c r="U35" s="9"/>
      <c r="V35" s="85"/>
    </row>
    <row r="36" spans="1:22" ht="33" customHeight="1">
      <c r="A36" s="6"/>
      <c r="B36" s="6"/>
      <c r="C36" s="6"/>
      <c r="D36" s="6"/>
      <c r="E36" s="6"/>
      <c r="F36" s="6">
        <v>6</v>
      </c>
      <c r="G36" s="6"/>
      <c r="H36" s="6"/>
      <c r="I36" s="68"/>
      <c r="J36" s="71" t="s">
        <v>153</v>
      </c>
      <c r="K36" s="69" t="s">
        <v>73</v>
      </c>
      <c r="L36" s="70">
        <v>2</v>
      </c>
      <c r="M36" s="6">
        <f t="shared" si="0"/>
        <v>8</v>
      </c>
      <c r="N36" s="89" t="s">
        <v>136</v>
      </c>
      <c r="O36" s="9"/>
      <c r="P36" s="72"/>
      <c r="Q36" s="6" t="s">
        <v>145</v>
      </c>
      <c r="R36" s="71" t="s">
        <v>153</v>
      </c>
      <c r="S36" s="9" t="str">
        <f>TEXT(O35-7,"M/D/Y")</f>
        <v>12/3/10</v>
      </c>
      <c r="T36" s="7"/>
      <c r="U36" s="9"/>
      <c r="V36" s="110" t="s">
        <v>327</v>
      </c>
    </row>
    <row r="37" spans="1:22" ht="33" customHeight="1">
      <c r="A37" s="6"/>
      <c r="B37" s="6"/>
      <c r="C37" s="6"/>
      <c r="D37" s="6"/>
      <c r="E37" s="6">
        <v>5</v>
      </c>
      <c r="F37" s="6"/>
      <c r="G37" s="6"/>
      <c r="H37" s="6"/>
      <c r="I37" s="68" t="s">
        <v>116</v>
      </c>
      <c r="J37" s="69" t="s">
        <v>74</v>
      </c>
      <c r="K37" s="69"/>
      <c r="L37" s="70">
        <v>2</v>
      </c>
      <c r="M37" s="6">
        <f t="shared" si="0"/>
        <v>8</v>
      </c>
      <c r="N37" s="89" t="s">
        <v>136</v>
      </c>
      <c r="O37" s="9" t="str">
        <f>TEXT($O$9-7,"m/d/yy")</f>
        <v>12/10/10</v>
      </c>
      <c r="P37" s="72" t="s">
        <v>402</v>
      </c>
      <c r="Q37" s="6" t="s">
        <v>146</v>
      </c>
      <c r="R37" s="67"/>
      <c r="S37" s="9"/>
      <c r="T37" s="7"/>
      <c r="U37" s="9"/>
      <c r="V37" s="85"/>
    </row>
    <row r="38" spans="1:22" ht="33" customHeight="1">
      <c r="A38" s="6"/>
      <c r="B38" s="6"/>
      <c r="C38" s="6"/>
      <c r="D38" s="6"/>
      <c r="E38" s="6"/>
      <c r="F38" s="6">
        <v>6</v>
      </c>
      <c r="G38" s="6"/>
      <c r="H38" s="6"/>
      <c r="I38" s="68" t="s">
        <v>117</v>
      </c>
      <c r="J38" s="69" t="s">
        <v>75</v>
      </c>
      <c r="K38" s="7"/>
      <c r="L38" s="70">
        <v>2</v>
      </c>
      <c r="M38" s="6">
        <f t="shared" si="0"/>
        <v>8</v>
      </c>
      <c r="N38" s="89" t="s">
        <v>136</v>
      </c>
      <c r="O38" s="9" t="str">
        <f>TEXT($O$13-7,"m/d/yy")</f>
        <v>12/3/10</v>
      </c>
      <c r="P38" s="72" t="s">
        <v>403</v>
      </c>
      <c r="Q38" s="6" t="s">
        <v>146</v>
      </c>
      <c r="R38" s="67"/>
      <c r="S38" s="9"/>
      <c r="T38" s="7"/>
      <c r="U38" s="9"/>
      <c r="V38" s="85"/>
    </row>
    <row r="39" spans="1:22" ht="33" customHeight="1">
      <c r="A39" s="6"/>
      <c r="B39" s="6"/>
      <c r="C39" s="6"/>
      <c r="D39" s="6"/>
      <c r="E39" s="6"/>
      <c r="F39" s="6"/>
      <c r="G39" s="6">
        <v>7</v>
      </c>
      <c r="H39" s="6"/>
      <c r="I39" s="68"/>
      <c r="J39" s="71" t="s">
        <v>151</v>
      </c>
      <c r="K39" s="69" t="s">
        <v>76</v>
      </c>
      <c r="L39" s="70">
        <v>2</v>
      </c>
      <c r="M39" s="6">
        <f t="shared" si="0"/>
        <v>8</v>
      </c>
      <c r="N39" s="89" t="s">
        <v>136</v>
      </c>
      <c r="O39" s="9"/>
      <c r="P39" s="72"/>
      <c r="Q39" s="6" t="s">
        <v>145</v>
      </c>
      <c r="R39" s="71" t="s">
        <v>151</v>
      </c>
      <c r="S39" s="9" t="str">
        <f>TEXT(O38-7,"M/D/Y")</f>
        <v>11/26/10</v>
      </c>
      <c r="T39" s="7"/>
      <c r="U39" s="9"/>
      <c r="V39" s="110" t="s">
        <v>327</v>
      </c>
    </row>
    <row r="40" spans="1:22" ht="33" customHeight="1">
      <c r="A40" s="6"/>
      <c r="B40" s="6"/>
      <c r="C40" s="6"/>
      <c r="D40" s="6"/>
      <c r="E40" s="6"/>
      <c r="F40" s="6">
        <v>6</v>
      </c>
      <c r="G40" s="6"/>
      <c r="H40" s="6"/>
      <c r="I40" s="68" t="s">
        <v>118</v>
      </c>
      <c r="J40" s="69" t="s">
        <v>77</v>
      </c>
      <c r="K40" s="7"/>
      <c r="L40" s="70">
        <v>2</v>
      </c>
      <c r="M40" s="6">
        <f t="shared" si="0"/>
        <v>8</v>
      </c>
      <c r="N40" s="89" t="s">
        <v>136</v>
      </c>
      <c r="O40" s="9" t="str">
        <f>TEXT($O$13-7,"m/d/yy")</f>
        <v>12/3/10</v>
      </c>
      <c r="P40" s="72" t="s">
        <v>404</v>
      </c>
      <c r="Q40" s="6" t="s">
        <v>146</v>
      </c>
      <c r="R40" s="67"/>
      <c r="S40" s="9"/>
      <c r="T40" s="7"/>
      <c r="U40" s="9"/>
      <c r="V40" s="85"/>
    </row>
    <row r="41" spans="1:22" ht="33" customHeight="1">
      <c r="A41" s="6"/>
      <c r="B41" s="6"/>
      <c r="C41" s="6"/>
      <c r="D41" s="6"/>
      <c r="E41" s="6"/>
      <c r="F41" s="6"/>
      <c r="G41" s="6">
        <v>7</v>
      </c>
      <c r="H41" s="6"/>
      <c r="I41" s="68"/>
      <c r="J41" s="71" t="s">
        <v>152</v>
      </c>
      <c r="K41" s="69" t="s">
        <v>78</v>
      </c>
      <c r="L41" s="70">
        <v>2</v>
      </c>
      <c r="M41" s="6">
        <f t="shared" si="0"/>
        <v>8</v>
      </c>
      <c r="N41" s="89" t="s">
        <v>136</v>
      </c>
      <c r="O41" s="9"/>
      <c r="P41" s="72"/>
      <c r="Q41" s="6" t="s">
        <v>145</v>
      </c>
      <c r="R41" s="71" t="s">
        <v>152</v>
      </c>
      <c r="S41" s="9" t="str">
        <f>TEXT(O40-7,"M/D/Y")</f>
        <v>11/26/10</v>
      </c>
      <c r="T41" s="7"/>
      <c r="U41" s="9"/>
      <c r="V41" s="110" t="s">
        <v>327</v>
      </c>
    </row>
    <row r="42" spans="1:22" ht="33" customHeight="1">
      <c r="A42" s="6"/>
      <c r="B42" s="6"/>
      <c r="C42" s="6"/>
      <c r="D42" s="6"/>
      <c r="E42" s="6">
        <v>5</v>
      </c>
      <c r="F42" s="6"/>
      <c r="G42" s="6"/>
      <c r="H42" s="6"/>
      <c r="I42" s="68" t="s">
        <v>230</v>
      </c>
      <c r="J42" s="69" t="s">
        <v>222</v>
      </c>
      <c r="K42" s="69"/>
      <c r="L42" s="70">
        <v>2</v>
      </c>
      <c r="M42" s="6">
        <f t="shared" si="0"/>
        <v>8</v>
      </c>
      <c r="N42" s="89" t="s">
        <v>136</v>
      </c>
      <c r="O42" s="9" t="str">
        <f>TEXT($O$9-7,"m/d/yy")</f>
        <v>12/10/10</v>
      </c>
      <c r="P42" s="72" t="s">
        <v>405</v>
      </c>
      <c r="Q42" s="6" t="s">
        <v>146</v>
      </c>
      <c r="R42" s="71"/>
      <c r="S42" s="9"/>
      <c r="T42" s="7"/>
      <c r="U42" s="9"/>
      <c r="V42" s="85"/>
    </row>
    <row r="43" spans="1:22" ht="33" customHeight="1">
      <c r="A43" s="6"/>
      <c r="B43" s="6"/>
      <c r="C43" s="6"/>
      <c r="D43" s="6"/>
      <c r="E43" s="6"/>
      <c r="F43" s="6">
        <v>6</v>
      </c>
      <c r="G43" s="6"/>
      <c r="H43" s="6"/>
      <c r="I43" s="68"/>
      <c r="J43" s="69" t="s">
        <v>151</v>
      </c>
      <c r="K43" s="69" t="s">
        <v>76</v>
      </c>
      <c r="L43" s="70">
        <v>2</v>
      </c>
      <c r="M43" s="6">
        <f t="shared" si="0"/>
        <v>8</v>
      </c>
      <c r="N43" s="89" t="s">
        <v>136</v>
      </c>
      <c r="O43" s="9"/>
      <c r="P43" s="72"/>
      <c r="Q43" s="6" t="s">
        <v>145</v>
      </c>
      <c r="R43" s="71" t="s">
        <v>151</v>
      </c>
      <c r="S43" s="9" t="str">
        <f>TEXT(O42-7,"M/D/Y")</f>
        <v>12/3/10</v>
      </c>
      <c r="T43" s="7"/>
      <c r="U43" s="9"/>
      <c r="V43" s="110" t="s">
        <v>327</v>
      </c>
    </row>
    <row r="44" spans="1:22" ht="33" customHeight="1">
      <c r="A44" s="6"/>
      <c r="B44" s="6"/>
      <c r="C44" s="6">
        <v>3</v>
      </c>
      <c r="D44" s="6"/>
      <c r="E44" s="6"/>
      <c r="F44" s="6"/>
      <c r="G44" s="6"/>
      <c r="H44" s="6"/>
      <c r="I44" s="68" t="s">
        <v>352</v>
      </c>
      <c r="J44" s="69" t="s">
        <v>353</v>
      </c>
      <c r="K44" s="69"/>
      <c r="L44" s="70">
        <v>1</v>
      </c>
      <c r="M44" s="6">
        <f t="shared" si="0"/>
        <v>4</v>
      </c>
      <c r="N44" s="89" t="s">
        <v>137</v>
      </c>
      <c r="O44" s="9" t="str">
        <f>TEXT($O$7-7,"m/d/yy")</f>
        <v>12/24/10</v>
      </c>
      <c r="P44" s="72" t="s">
        <v>406</v>
      </c>
      <c r="Q44" s="6" t="s">
        <v>146</v>
      </c>
      <c r="R44" s="67"/>
      <c r="S44" s="9"/>
      <c r="T44" s="7"/>
      <c r="U44" s="9"/>
      <c r="V44" s="85"/>
    </row>
    <row r="45" spans="1:22" ht="33" customHeight="1">
      <c r="A45" s="6"/>
      <c r="B45" s="6"/>
      <c r="C45" s="6"/>
      <c r="D45" s="6">
        <v>4</v>
      </c>
      <c r="E45" s="6"/>
      <c r="F45" s="6"/>
      <c r="G45" s="6"/>
      <c r="H45" s="6"/>
      <c r="I45" s="68" t="s">
        <v>354</v>
      </c>
      <c r="J45" s="69" t="s">
        <v>355</v>
      </c>
      <c r="K45" s="69" t="s">
        <v>356</v>
      </c>
      <c r="L45" s="70">
        <v>1</v>
      </c>
      <c r="M45" s="6">
        <f t="shared" si="0"/>
        <v>4</v>
      </c>
      <c r="N45" s="89" t="s">
        <v>137</v>
      </c>
      <c r="O45" s="9"/>
      <c r="P45" s="72"/>
      <c r="Q45" s="6" t="s">
        <v>145</v>
      </c>
      <c r="R45" s="71" t="s">
        <v>367</v>
      </c>
      <c r="S45" s="9" t="str">
        <f>TEXT(O44-7,"M/D/Y")</f>
        <v>12/17/10</v>
      </c>
      <c r="T45" s="7"/>
      <c r="U45" s="9"/>
      <c r="V45" s="110" t="s">
        <v>327</v>
      </c>
    </row>
    <row r="46" spans="1:22" ht="33" customHeight="1">
      <c r="A46" s="6"/>
      <c r="B46" s="6"/>
      <c r="C46" s="6">
        <v>3</v>
      </c>
      <c r="D46" s="6"/>
      <c r="E46" s="6"/>
      <c r="F46" s="6"/>
      <c r="G46" s="6"/>
      <c r="H46" s="6"/>
      <c r="I46" s="68" t="s">
        <v>119</v>
      </c>
      <c r="J46" s="69" t="s">
        <v>79</v>
      </c>
      <c r="K46" s="69"/>
      <c r="L46" s="70">
        <v>5</v>
      </c>
      <c r="M46" s="6">
        <f t="shared" si="0"/>
        <v>20</v>
      </c>
      <c r="N46" s="89" t="s">
        <v>136</v>
      </c>
      <c r="O46" s="9" t="str">
        <f>TEXT($O$7-7,"m/d/yy")</f>
        <v>12/24/10</v>
      </c>
      <c r="P46" s="72" t="s">
        <v>407</v>
      </c>
      <c r="Q46" s="6" t="s">
        <v>146</v>
      </c>
      <c r="R46" s="67"/>
      <c r="S46" s="9"/>
      <c r="T46" s="7"/>
      <c r="U46" s="9"/>
      <c r="V46" s="85"/>
    </row>
    <row r="47" spans="1:22" ht="33" customHeight="1">
      <c r="A47" s="6"/>
      <c r="B47" s="6"/>
      <c r="C47" s="6"/>
      <c r="D47" s="6">
        <v>4</v>
      </c>
      <c r="E47" s="6"/>
      <c r="F47" s="6"/>
      <c r="G47" s="6"/>
      <c r="H47" s="6"/>
      <c r="I47" s="68" t="s">
        <v>120</v>
      </c>
      <c r="J47" s="69" t="s">
        <v>80</v>
      </c>
      <c r="K47" s="69"/>
      <c r="L47" s="70">
        <v>5</v>
      </c>
      <c r="M47" s="6">
        <f t="shared" si="0"/>
        <v>20</v>
      </c>
      <c r="N47" s="89" t="s">
        <v>136</v>
      </c>
      <c r="O47" s="9" t="str">
        <f>TEXT($O$8-7,"m/d/yy")</f>
        <v>12/17/10</v>
      </c>
      <c r="P47" s="72" t="s">
        <v>408</v>
      </c>
      <c r="Q47" s="6" t="s">
        <v>146</v>
      </c>
      <c r="R47" s="67"/>
      <c r="S47" s="9"/>
      <c r="T47" s="7"/>
      <c r="U47" s="9"/>
      <c r="V47" s="110"/>
    </row>
    <row r="48" spans="1:22" ht="33" customHeight="1">
      <c r="A48" s="6"/>
      <c r="B48" s="6"/>
      <c r="C48" s="6"/>
      <c r="D48" s="6"/>
      <c r="E48" s="6">
        <v>5</v>
      </c>
      <c r="F48" s="6"/>
      <c r="G48" s="6"/>
      <c r="H48" s="6"/>
      <c r="I48" s="68"/>
      <c r="J48" s="71" t="s">
        <v>154</v>
      </c>
      <c r="K48" s="69" t="s">
        <v>81</v>
      </c>
      <c r="L48" s="70">
        <v>5</v>
      </c>
      <c r="M48" s="6">
        <f t="shared" si="0"/>
        <v>20</v>
      </c>
      <c r="N48" s="89" t="s">
        <v>136</v>
      </c>
      <c r="O48" s="9"/>
      <c r="P48" s="72"/>
      <c r="Q48" s="6" t="s">
        <v>145</v>
      </c>
      <c r="R48" s="71" t="s">
        <v>154</v>
      </c>
      <c r="S48" s="9" t="str">
        <f>TEXT($O$47-7,"M/D/Y")</f>
        <v>12/10/10</v>
      </c>
      <c r="T48" s="7"/>
      <c r="U48" s="9"/>
      <c r="V48" s="110" t="s">
        <v>327</v>
      </c>
    </row>
    <row r="49" spans="1:22" ht="33" customHeight="1">
      <c r="A49" s="6"/>
      <c r="B49" s="6"/>
      <c r="C49" s="6"/>
      <c r="D49" s="6">
        <v>4</v>
      </c>
      <c r="E49" s="6"/>
      <c r="F49" s="6"/>
      <c r="G49" s="6"/>
      <c r="H49" s="6"/>
      <c r="I49" s="68" t="s">
        <v>121</v>
      </c>
      <c r="J49" s="71" t="s">
        <v>144</v>
      </c>
      <c r="K49" s="73"/>
      <c r="L49" s="70">
        <v>5</v>
      </c>
      <c r="M49" s="6">
        <f t="shared" si="0"/>
        <v>20</v>
      </c>
      <c r="N49" s="89" t="s">
        <v>136</v>
      </c>
      <c r="O49" s="9"/>
      <c r="P49" s="72"/>
      <c r="Q49" s="6" t="s">
        <v>145</v>
      </c>
      <c r="R49" s="71" t="s">
        <v>144</v>
      </c>
      <c r="S49" s="9" t="str">
        <f>TEXT($O$47-7,"M/D/Y")</f>
        <v>12/10/10</v>
      </c>
      <c r="T49" s="7"/>
      <c r="U49" s="9"/>
      <c r="V49" s="110" t="s">
        <v>327</v>
      </c>
    </row>
    <row r="50" spans="1:22" ht="33" customHeight="1">
      <c r="A50" s="6"/>
      <c r="B50" s="6"/>
      <c r="C50" s="6">
        <v>3</v>
      </c>
      <c r="D50" s="6"/>
      <c r="E50" s="6"/>
      <c r="F50" s="6"/>
      <c r="G50" s="6"/>
      <c r="H50" s="6"/>
      <c r="I50" s="68" t="s">
        <v>357</v>
      </c>
      <c r="J50" s="69" t="s">
        <v>339</v>
      </c>
      <c r="K50" s="69"/>
      <c r="L50" s="70">
        <v>1</v>
      </c>
      <c r="M50" s="6">
        <f t="shared" si="0"/>
        <v>4</v>
      </c>
      <c r="N50" s="89" t="s">
        <v>136</v>
      </c>
      <c r="O50" s="9" t="str">
        <f>TEXT($O$7-7,"m/d/yy")</f>
        <v>12/24/10</v>
      </c>
      <c r="P50" s="72" t="s">
        <v>409</v>
      </c>
      <c r="Q50" s="6" t="s">
        <v>146</v>
      </c>
      <c r="R50" s="71"/>
      <c r="S50" s="9"/>
      <c r="T50" s="7"/>
      <c r="U50" s="9"/>
      <c r="V50" s="85"/>
    </row>
    <row r="51" spans="1:22" ht="33" customHeight="1">
      <c r="A51" s="6"/>
      <c r="B51" s="6"/>
      <c r="C51" s="6"/>
      <c r="D51" s="6">
        <v>4</v>
      </c>
      <c r="E51" s="6"/>
      <c r="F51" s="6"/>
      <c r="G51" s="6"/>
      <c r="H51" s="6"/>
      <c r="I51" s="68" t="s">
        <v>359</v>
      </c>
      <c r="J51" s="69" t="s">
        <v>358</v>
      </c>
      <c r="K51" s="73"/>
      <c r="L51" s="70">
        <v>1</v>
      </c>
      <c r="M51" s="6">
        <f t="shared" si="0"/>
        <v>4</v>
      </c>
      <c r="N51" s="89" t="s">
        <v>137</v>
      </c>
      <c r="O51" s="9" t="str">
        <f>TEXT($O$8-7,"m/d/yy")</f>
        <v>12/17/10</v>
      </c>
      <c r="P51" s="72" t="s">
        <v>410</v>
      </c>
      <c r="Q51" s="6" t="s">
        <v>146</v>
      </c>
      <c r="R51" s="67"/>
      <c r="S51" s="9"/>
      <c r="T51" s="7"/>
      <c r="U51" s="9"/>
      <c r="V51" s="85"/>
    </row>
    <row r="52" spans="1:22" ht="33" customHeight="1">
      <c r="A52" s="6"/>
      <c r="B52" s="6"/>
      <c r="C52" s="6"/>
      <c r="D52" s="6"/>
      <c r="E52" s="6">
        <v>5</v>
      </c>
      <c r="F52" s="6"/>
      <c r="G52" s="6"/>
      <c r="H52" s="6"/>
      <c r="I52" s="68" t="s">
        <v>133</v>
      </c>
      <c r="J52" s="69" t="s">
        <v>134</v>
      </c>
      <c r="K52" s="69" t="s">
        <v>135</v>
      </c>
      <c r="L52" s="70">
        <v>1</v>
      </c>
      <c r="M52" s="6">
        <f t="shared" si="0"/>
        <v>4</v>
      </c>
      <c r="N52" s="89" t="s">
        <v>137</v>
      </c>
      <c r="O52" s="9"/>
      <c r="P52" s="72"/>
      <c r="Q52" s="6" t="s">
        <v>145</v>
      </c>
      <c r="R52" s="71" t="s">
        <v>368</v>
      </c>
      <c r="S52" s="9" t="str">
        <f>TEXT($O$51-7,"M/D/Y")</f>
        <v>12/10/10</v>
      </c>
      <c r="T52" s="7"/>
      <c r="U52" s="9"/>
      <c r="V52" s="110" t="s">
        <v>327</v>
      </c>
    </row>
    <row r="53" spans="1:22" ht="33" customHeight="1">
      <c r="A53" s="6"/>
      <c r="B53" s="6"/>
      <c r="C53" s="6"/>
      <c r="D53" s="6">
        <v>4</v>
      </c>
      <c r="E53" s="6"/>
      <c r="F53" s="6"/>
      <c r="G53" s="6"/>
      <c r="H53" s="6"/>
      <c r="I53" s="68" t="s">
        <v>122</v>
      </c>
      <c r="J53" s="69" t="s">
        <v>82</v>
      </c>
      <c r="K53" s="69"/>
      <c r="L53" s="70">
        <v>1</v>
      </c>
      <c r="M53" s="6">
        <f t="shared" si="0"/>
        <v>4</v>
      </c>
      <c r="N53" s="89" t="s">
        <v>136</v>
      </c>
      <c r="O53" s="9"/>
      <c r="P53" s="72"/>
      <c r="Q53" s="6" t="s">
        <v>145</v>
      </c>
      <c r="R53" s="67"/>
      <c r="S53" s="9" t="str">
        <f>TEXT($O$51-20,"M/D/Y")</f>
        <v>11/27/10</v>
      </c>
      <c r="T53" s="7"/>
      <c r="U53" s="9"/>
      <c r="V53" s="109" t="s">
        <v>325</v>
      </c>
    </row>
    <row r="54" spans="1:22" ht="33" customHeight="1">
      <c r="A54" s="6"/>
      <c r="B54" s="6"/>
      <c r="C54" s="6"/>
      <c r="D54" s="6"/>
      <c r="E54" s="6">
        <v>5</v>
      </c>
      <c r="F54" s="6"/>
      <c r="G54" s="6"/>
      <c r="H54" s="6"/>
      <c r="I54" s="68" t="s">
        <v>123</v>
      </c>
      <c r="J54" s="69" t="s">
        <v>83</v>
      </c>
      <c r="K54" s="69" t="s">
        <v>84</v>
      </c>
      <c r="L54" s="70">
        <v>1</v>
      </c>
      <c r="M54" s="6">
        <f t="shared" si="0"/>
        <v>4</v>
      </c>
      <c r="N54" s="89" t="s">
        <v>136</v>
      </c>
      <c r="O54" s="9"/>
      <c r="P54" s="72"/>
      <c r="Q54" s="6" t="s">
        <v>145</v>
      </c>
      <c r="R54" s="71" t="s">
        <v>84</v>
      </c>
      <c r="S54" s="9" t="s">
        <v>39</v>
      </c>
      <c r="T54" s="7"/>
      <c r="U54" s="9"/>
      <c r="V54" s="109" t="s">
        <v>325</v>
      </c>
    </row>
    <row r="55" spans="1:22" ht="33" customHeight="1">
      <c r="A55" s="6"/>
      <c r="B55" s="6"/>
      <c r="C55" s="6"/>
      <c r="D55" s="6"/>
      <c r="E55" s="6">
        <v>5</v>
      </c>
      <c r="F55" s="6"/>
      <c r="G55" s="6"/>
      <c r="H55" s="6"/>
      <c r="I55" s="68" t="s">
        <v>124</v>
      </c>
      <c r="J55" s="69" t="s">
        <v>85</v>
      </c>
      <c r="K55" s="7"/>
      <c r="L55" s="70">
        <v>8</v>
      </c>
      <c r="M55" s="6">
        <f t="shared" si="0"/>
        <v>32</v>
      </c>
      <c r="N55" s="89" t="s">
        <v>136</v>
      </c>
      <c r="O55" s="9"/>
      <c r="P55" s="72"/>
      <c r="Q55" s="6" t="s">
        <v>145</v>
      </c>
      <c r="R55" s="67"/>
      <c r="S55" s="9" t="s">
        <v>39</v>
      </c>
      <c r="T55" s="7"/>
      <c r="U55" s="9"/>
      <c r="V55" s="85"/>
    </row>
    <row r="56" spans="1:22" ht="33" customHeight="1">
      <c r="A56" s="6"/>
      <c r="B56" s="6"/>
      <c r="C56" s="6"/>
      <c r="D56" s="6"/>
      <c r="E56" s="6"/>
      <c r="F56" s="6">
        <v>6</v>
      </c>
      <c r="G56" s="6"/>
      <c r="H56" s="6"/>
      <c r="I56" s="68"/>
      <c r="J56" s="71" t="s">
        <v>155</v>
      </c>
      <c r="K56" s="69" t="s">
        <v>86</v>
      </c>
      <c r="L56" s="70">
        <v>8</v>
      </c>
      <c r="M56" s="6">
        <f t="shared" si="0"/>
        <v>32</v>
      </c>
      <c r="N56" s="89" t="s">
        <v>136</v>
      </c>
      <c r="O56" s="9"/>
      <c r="P56" s="72"/>
      <c r="Q56" s="6" t="s">
        <v>145</v>
      </c>
      <c r="R56" s="71" t="s">
        <v>155</v>
      </c>
      <c r="S56" s="9" t="s">
        <v>39</v>
      </c>
      <c r="T56" s="7"/>
      <c r="U56" s="9"/>
      <c r="V56" s="110" t="s">
        <v>328</v>
      </c>
    </row>
    <row r="57" spans="1:22" ht="33" customHeight="1">
      <c r="A57" s="6"/>
      <c r="B57" s="6"/>
      <c r="C57" s="6"/>
      <c r="D57" s="6"/>
      <c r="E57" s="6">
        <v>5</v>
      </c>
      <c r="F57" s="6"/>
      <c r="G57" s="6"/>
      <c r="H57" s="6"/>
      <c r="I57" s="68" t="s">
        <v>125</v>
      </c>
      <c r="J57" s="69" t="s">
        <v>87</v>
      </c>
      <c r="K57" s="7"/>
      <c r="L57" s="70">
        <v>8</v>
      </c>
      <c r="M57" s="6">
        <f t="shared" si="0"/>
        <v>32</v>
      </c>
      <c r="N57" s="89" t="s">
        <v>136</v>
      </c>
      <c r="O57" s="9"/>
      <c r="P57" s="72"/>
      <c r="Q57" s="6" t="s">
        <v>145</v>
      </c>
      <c r="R57" s="67"/>
      <c r="S57" s="9" t="s">
        <v>39</v>
      </c>
      <c r="T57" s="7"/>
      <c r="U57" s="9"/>
      <c r="V57" s="85"/>
    </row>
    <row r="58" spans="1:22" ht="33" customHeight="1">
      <c r="A58" s="6"/>
      <c r="B58" s="6"/>
      <c r="C58" s="6"/>
      <c r="D58" s="6"/>
      <c r="E58" s="6"/>
      <c r="F58" s="6">
        <v>6</v>
      </c>
      <c r="G58" s="6"/>
      <c r="H58" s="6"/>
      <c r="I58" s="68"/>
      <c r="J58" s="71" t="s">
        <v>156</v>
      </c>
      <c r="K58" s="69" t="s">
        <v>88</v>
      </c>
      <c r="L58" s="70">
        <v>8</v>
      </c>
      <c r="M58" s="6">
        <f t="shared" si="0"/>
        <v>32</v>
      </c>
      <c r="N58" s="89" t="s">
        <v>136</v>
      </c>
      <c r="O58" s="9"/>
      <c r="P58" s="72"/>
      <c r="Q58" s="6" t="s">
        <v>145</v>
      </c>
      <c r="R58" s="71" t="s">
        <v>156</v>
      </c>
      <c r="S58" s="9" t="s">
        <v>39</v>
      </c>
      <c r="T58" s="7"/>
      <c r="U58" s="9"/>
      <c r="V58" s="110" t="s">
        <v>328</v>
      </c>
    </row>
    <row r="59" spans="1:22" ht="33" customHeight="1">
      <c r="A59" s="6"/>
      <c r="B59" s="6"/>
      <c r="C59" s="6"/>
      <c r="D59" s="6"/>
      <c r="E59" s="6">
        <v>5</v>
      </c>
      <c r="F59" s="6"/>
      <c r="G59" s="6"/>
      <c r="H59" s="6"/>
      <c r="I59" s="68" t="s">
        <v>126</v>
      </c>
      <c r="J59" s="69" t="s">
        <v>89</v>
      </c>
      <c r="K59" s="69"/>
      <c r="L59" s="70">
        <v>2</v>
      </c>
      <c r="M59" s="6">
        <f t="shared" si="0"/>
        <v>8</v>
      </c>
      <c r="N59" s="89" t="s">
        <v>136</v>
      </c>
      <c r="O59" s="9" t="str">
        <f>"11/10/10"</f>
        <v>11/10/10</v>
      </c>
      <c r="P59" s="72" t="s">
        <v>411</v>
      </c>
      <c r="Q59" s="6" t="s">
        <v>146</v>
      </c>
      <c r="R59" s="67"/>
      <c r="S59" s="9"/>
      <c r="T59" s="7"/>
      <c r="U59" s="9"/>
      <c r="V59" s="85"/>
    </row>
    <row r="60" spans="1:22" ht="33" customHeight="1">
      <c r="A60" s="6"/>
      <c r="B60" s="6"/>
      <c r="C60" s="6"/>
      <c r="D60" s="6"/>
      <c r="E60" s="6"/>
      <c r="F60" s="6">
        <v>6</v>
      </c>
      <c r="G60" s="6"/>
      <c r="H60" s="6"/>
      <c r="I60" s="68"/>
      <c r="J60" s="69" t="s">
        <v>90</v>
      </c>
      <c r="K60" s="69" t="s">
        <v>90</v>
      </c>
      <c r="L60" s="70">
        <v>2</v>
      </c>
      <c r="M60" s="6">
        <f t="shared" si="0"/>
        <v>8</v>
      </c>
      <c r="N60" s="89" t="s">
        <v>136</v>
      </c>
      <c r="O60" s="9"/>
      <c r="P60" s="72"/>
      <c r="Q60" s="6" t="s">
        <v>145</v>
      </c>
      <c r="R60" s="71" t="s">
        <v>369</v>
      </c>
      <c r="S60" s="9" t="str">
        <f>TEXT(O59-7,"M/D/Y")</f>
        <v>11/3/10</v>
      </c>
      <c r="T60" s="7"/>
      <c r="U60" s="9"/>
      <c r="V60" s="86" t="s">
        <v>330</v>
      </c>
    </row>
    <row r="61" spans="1:22" ht="33" customHeight="1">
      <c r="A61" s="6"/>
      <c r="B61" s="6"/>
      <c r="C61" s="6"/>
      <c r="D61" s="6"/>
      <c r="E61" s="6"/>
      <c r="F61" s="6"/>
      <c r="G61" s="6">
        <v>7</v>
      </c>
      <c r="H61" s="6"/>
      <c r="I61" s="68"/>
      <c r="J61" s="69" t="s">
        <v>143</v>
      </c>
      <c r="K61" s="69" t="s">
        <v>143</v>
      </c>
      <c r="L61" s="70">
        <v>2</v>
      </c>
      <c r="M61" s="6">
        <f t="shared" si="0"/>
        <v>8</v>
      </c>
      <c r="N61" s="89" t="s">
        <v>136</v>
      </c>
      <c r="O61" s="9"/>
      <c r="P61" s="72"/>
      <c r="Q61" s="6" t="s">
        <v>145</v>
      </c>
      <c r="R61" s="71" t="s">
        <v>143</v>
      </c>
      <c r="S61" s="9" t="str">
        <f>TEXT(S60-7,"M/D/Y")</f>
        <v>10/27/10</v>
      </c>
      <c r="T61" s="7"/>
      <c r="U61" s="9"/>
      <c r="V61" s="86" t="s">
        <v>326</v>
      </c>
    </row>
    <row r="62" spans="1:22" ht="33" customHeight="1">
      <c r="A62" s="6"/>
      <c r="B62" s="6"/>
      <c r="C62" s="6"/>
      <c r="D62" s="6"/>
      <c r="E62" s="6">
        <v>5</v>
      </c>
      <c r="F62" s="6"/>
      <c r="G62" s="6"/>
      <c r="H62" s="6"/>
      <c r="I62" s="68" t="s">
        <v>421</v>
      </c>
      <c r="J62" s="69" t="s">
        <v>422</v>
      </c>
      <c r="K62" s="69"/>
      <c r="L62" s="70">
        <v>4</v>
      </c>
      <c r="M62" s="6">
        <f t="shared" si="0"/>
        <v>16</v>
      </c>
      <c r="N62" s="89" t="s">
        <v>423</v>
      </c>
      <c r="O62" s="9"/>
      <c r="P62" s="72"/>
      <c r="Q62" s="6" t="s">
        <v>145</v>
      </c>
      <c r="R62" s="71" t="s">
        <v>422</v>
      </c>
      <c r="S62" s="9" t="s">
        <v>39</v>
      </c>
      <c r="T62" s="7"/>
      <c r="U62" s="9"/>
      <c r="V62" s="110" t="s">
        <v>328</v>
      </c>
    </row>
    <row r="63" spans="1:22" ht="33" customHeight="1">
      <c r="A63" s="6"/>
      <c r="B63" s="6"/>
      <c r="C63" s="6"/>
      <c r="D63" s="6"/>
      <c r="E63" s="6">
        <v>5</v>
      </c>
      <c r="F63" s="6"/>
      <c r="G63" s="6"/>
      <c r="H63" s="6"/>
      <c r="I63" s="68" t="s">
        <v>424</v>
      </c>
      <c r="J63" s="69" t="s">
        <v>425</v>
      </c>
      <c r="K63" s="69"/>
      <c r="L63" s="70">
        <v>16</v>
      </c>
      <c r="M63" s="6">
        <f t="shared" si="0"/>
        <v>64</v>
      </c>
      <c r="N63" s="89" t="s">
        <v>423</v>
      </c>
      <c r="O63" s="9"/>
      <c r="P63" s="72"/>
      <c r="Q63" s="6" t="s">
        <v>145</v>
      </c>
      <c r="R63" s="71" t="s">
        <v>425</v>
      </c>
      <c r="S63" s="9" t="s">
        <v>39</v>
      </c>
      <c r="T63" s="7"/>
      <c r="U63" s="9"/>
      <c r="V63" s="110" t="s">
        <v>328</v>
      </c>
    </row>
    <row r="64" spans="1:22" ht="33" customHeight="1">
      <c r="A64" s="6"/>
      <c r="B64" s="6"/>
      <c r="C64" s="6"/>
      <c r="D64" s="6"/>
      <c r="E64" s="6">
        <v>5</v>
      </c>
      <c r="F64" s="6"/>
      <c r="G64" s="6"/>
      <c r="H64" s="6"/>
      <c r="I64" s="68" t="s">
        <v>127</v>
      </c>
      <c r="J64" s="69" t="s">
        <v>91</v>
      </c>
      <c r="K64" s="69"/>
      <c r="L64" s="70">
        <v>8</v>
      </c>
      <c r="M64" s="6">
        <f t="shared" si="0"/>
        <v>32</v>
      </c>
      <c r="N64" s="89" t="s">
        <v>136</v>
      </c>
      <c r="O64" s="9"/>
      <c r="P64" s="72"/>
      <c r="Q64" s="6" t="s">
        <v>145</v>
      </c>
      <c r="R64" s="67"/>
      <c r="S64" s="9" t="s">
        <v>39</v>
      </c>
      <c r="T64" s="7"/>
      <c r="U64" s="9"/>
      <c r="V64" s="110" t="s">
        <v>328</v>
      </c>
    </row>
    <row r="65" spans="1:22" ht="33" customHeight="1">
      <c r="A65" s="6"/>
      <c r="B65" s="6"/>
      <c r="C65" s="6"/>
      <c r="D65" s="6"/>
      <c r="E65" s="6"/>
      <c r="F65" s="6">
        <v>6</v>
      </c>
      <c r="G65" s="6"/>
      <c r="H65" s="6"/>
      <c r="I65" s="68"/>
      <c r="J65" s="69" t="s">
        <v>92</v>
      </c>
      <c r="K65" s="69" t="s">
        <v>92</v>
      </c>
      <c r="L65" s="70">
        <v>8</v>
      </c>
      <c r="M65" s="6">
        <f t="shared" si="0"/>
        <v>32</v>
      </c>
      <c r="N65" s="89" t="s">
        <v>136</v>
      </c>
      <c r="O65" s="9"/>
      <c r="P65" s="72"/>
      <c r="Q65" s="6" t="s">
        <v>145</v>
      </c>
      <c r="R65" s="67"/>
      <c r="S65" s="9" t="s">
        <v>39</v>
      </c>
      <c r="T65" s="7"/>
      <c r="U65" s="9"/>
      <c r="V65" s="110" t="s">
        <v>328</v>
      </c>
    </row>
    <row r="66" spans="1:22" ht="33" customHeight="1">
      <c r="A66" s="6"/>
      <c r="B66" s="6"/>
      <c r="C66" s="6"/>
      <c r="D66" s="6"/>
      <c r="E66" s="6">
        <v>5</v>
      </c>
      <c r="F66" s="6"/>
      <c r="G66" s="6"/>
      <c r="H66" s="6"/>
      <c r="I66" s="68" t="s">
        <v>128</v>
      </c>
      <c r="J66" s="69" t="s">
        <v>93</v>
      </c>
      <c r="K66" s="7"/>
      <c r="L66" s="70">
        <v>8</v>
      </c>
      <c r="M66" s="6">
        <f t="shared" si="0"/>
        <v>32</v>
      </c>
      <c r="N66" s="89" t="s">
        <v>136</v>
      </c>
      <c r="O66" s="9"/>
      <c r="P66" s="72"/>
      <c r="Q66" s="6" t="s">
        <v>145</v>
      </c>
      <c r="R66" s="67"/>
      <c r="S66" s="9" t="s">
        <v>39</v>
      </c>
      <c r="T66" s="7"/>
      <c r="U66" s="9"/>
      <c r="V66" s="85"/>
    </row>
    <row r="67" spans="1:22" ht="33" customHeight="1">
      <c r="A67" s="6"/>
      <c r="B67" s="6"/>
      <c r="C67" s="6"/>
      <c r="D67" s="6"/>
      <c r="E67" s="6"/>
      <c r="F67" s="6">
        <v>6</v>
      </c>
      <c r="G67" s="6"/>
      <c r="H67" s="6"/>
      <c r="I67" s="68"/>
      <c r="J67" s="69" t="s">
        <v>94</v>
      </c>
      <c r="K67" s="69" t="s">
        <v>94</v>
      </c>
      <c r="L67" s="70">
        <v>8</v>
      </c>
      <c r="M67" s="6">
        <f t="shared" si="0"/>
        <v>32</v>
      </c>
      <c r="N67" s="89" t="s">
        <v>136</v>
      </c>
      <c r="O67" s="9"/>
      <c r="P67" s="72"/>
      <c r="Q67" s="6" t="s">
        <v>145</v>
      </c>
      <c r="R67" s="67"/>
      <c r="S67" s="9" t="s">
        <v>39</v>
      </c>
      <c r="T67" s="7"/>
      <c r="U67" s="9"/>
      <c r="V67" s="110" t="s">
        <v>328</v>
      </c>
    </row>
    <row r="68" spans="1:22" ht="33" customHeight="1">
      <c r="A68" s="6"/>
      <c r="B68" s="6"/>
      <c r="C68" s="6"/>
      <c r="D68" s="6">
        <v>4</v>
      </c>
      <c r="E68" s="6"/>
      <c r="F68" s="6"/>
      <c r="G68" s="6"/>
      <c r="H68" s="6"/>
      <c r="I68" s="68" t="s">
        <v>360</v>
      </c>
      <c r="J68" s="69" t="s">
        <v>361</v>
      </c>
      <c r="K68" s="69"/>
      <c r="L68" s="70">
        <v>1</v>
      </c>
      <c r="M68" s="6">
        <f t="shared" si="0"/>
        <v>4</v>
      </c>
      <c r="N68" s="89" t="s">
        <v>137</v>
      </c>
      <c r="O68" s="9" t="str">
        <f>TEXT($O$8-7,"m/d/yy")</f>
        <v>12/17/10</v>
      </c>
      <c r="P68" s="72" t="s">
        <v>412</v>
      </c>
      <c r="Q68" s="6" t="s">
        <v>146</v>
      </c>
      <c r="R68" s="67"/>
      <c r="S68" s="9"/>
      <c r="T68" s="7"/>
      <c r="U68" s="9"/>
      <c r="V68" s="85"/>
    </row>
    <row r="69" spans="1:22" ht="33" customHeight="1">
      <c r="A69" s="6"/>
      <c r="B69" s="6"/>
      <c r="C69" s="6"/>
      <c r="D69" s="6"/>
      <c r="E69" s="6">
        <v>5</v>
      </c>
      <c r="F69" s="6"/>
      <c r="G69" s="6"/>
      <c r="H69" s="6"/>
      <c r="I69" s="68" t="s">
        <v>362</v>
      </c>
      <c r="J69" s="69" t="s">
        <v>363</v>
      </c>
      <c r="K69" s="69" t="s">
        <v>364</v>
      </c>
      <c r="L69" s="70">
        <v>1</v>
      </c>
      <c r="M69" s="6">
        <f t="shared" si="0"/>
        <v>4</v>
      </c>
      <c r="N69" s="89" t="s">
        <v>137</v>
      </c>
      <c r="O69" s="9"/>
      <c r="P69" s="72"/>
      <c r="Q69" s="6" t="s">
        <v>145</v>
      </c>
      <c r="R69" s="71" t="s">
        <v>365</v>
      </c>
      <c r="S69" s="9">
        <f>O68-7</f>
        <v>40522</v>
      </c>
      <c r="T69" s="7"/>
      <c r="U69" s="9"/>
      <c r="V69" s="110" t="s">
        <v>327</v>
      </c>
    </row>
    <row r="70" spans="1:22" ht="33" customHeight="1">
      <c r="A70" s="6"/>
      <c r="B70" s="6"/>
      <c r="C70" s="6">
        <v>3</v>
      </c>
      <c r="D70" s="6"/>
      <c r="E70" s="6"/>
      <c r="F70" s="6"/>
      <c r="G70" s="6"/>
      <c r="H70" s="6"/>
      <c r="I70" s="68" t="s">
        <v>129</v>
      </c>
      <c r="J70" s="69" t="s">
        <v>95</v>
      </c>
      <c r="K70" s="69" t="s">
        <v>96</v>
      </c>
      <c r="L70" s="70">
        <v>12</v>
      </c>
      <c r="M70" s="6">
        <f t="shared" si="0"/>
        <v>48</v>
      </c>
      <c r="N70" s="89" t="s">
        <v>136</v>
      </c>
      <c r="O70" s="9" t="str">
        <f>TEXT($O$7-7,"m/d/yy")</f>
        <v>12/24/10</v>
      </c>
      <c r="P70" s="72" t="s">
        <v>413</v>
      </c>
      <c r="Q70" s="6" t="s">
        <v>146</v>
      </c>
      <c r="R70" s="67"/>
      <c r="S70" s="9"/>
      <c r="T70" s="7"/>
      <c r="U70" s="9"/>
      <c r="V70" s="85"/>
    </row>
    <row r="71" spans="1:22" ht="33" customHeight="1">
      <c r="A71" s="6"/>
      <c r="B71" s="6"/>
      <c r="C71" s="6"/>
      <c r="D71" s="6">
        <v>4</v>
      </c>
      <c r="E71" s="6"/>
      <c r="F71" s="6"/>
      <c r="G71" s="6"/>
      <c r="H71" s="6"/>
      <c r="I71" s="68" t="s">
        <v>140</v>
      </c>
      <c r="J71" s="69" t="s">
        <v>141</v>
      </c>
      <c r="K71" s="69"/>
      <c r="L71" s="70">
        <v>12</v>
      </c>
      <c r="M71" s="6">
        <f t="shared" si="0"/>
        <v>48</v>
      </c>
      <c r="N71" s="89" t="s">
        <v>136</v>
      </c>
      <c r="O71" s="9"/>
      <c r="P71" s="72"/>
      <c r="Q71" s="6" t="s">
        <v>145</v>
      </c>
      <c r="R71" s="71" t="s">
        <v>141</v>
      </c>
      <c r="S71" s="9">
        <f>O70-7</f>
        <v>40529</v>
      </c>
      <c r="T71" s="7"/>
      <c r="U71" s="9"/>
      <c r="V71" s="110" t="s">
        <v>327</v>
      </c>
    </row>
    <row r="72" spans="1:22" ht="33" customHeight="1">
      <c r="A72" s="6"/>
      <c r="B72" s="6"/>
      <c r="C72" s="6"/>
      <c r="D72" s="6">
        <v>4</v>
      </c>
      <c r="E72" s="6"/>
      <c r="F72" s="6"/>
      <c r="G72" s="6"/>
      <c r="H72" s="6"/>
      <c r="I72" s="68" t="s">
        <v>382</v>
      </c>
      <c r="J72" s="69" t="s">
        <v>383</v>
      </c>
      <c r="K72" s="69"/>
      <c r="L72" s="70">
        <v>12</v>
      </c>
      <c r="M72" s="6">
        <f t="shared" si="0"/>
        <v>48</v>
      </c>
      <c r="N72" s="89" t="s">
        <v>136</v>
      </c>
      <c r="O72" s="9" t="str">
        <f>TEXT($O$8-7,"m/d/yy")</f>
        <v>12/17/10</v>
      </c>
      <c r="P72" s="72" t="s">
        <v>414</v>
      </c>
      <c r="Q72" s="6" t="s">
        <v>146</v>
      </c>
      <c r="R72" s="71"/>
      <c r="S72" s="9"/>
      <c r="T72" s="7"/>
      <c r="U72" s="9"/>
      <c r="V72" s="110"/>
    </row>
    <row r="73" spans="1:22" ht="33" customHeight="1">
      <c r="A73" s="6"/>
      <c r="B73" s="6"/>
      <c r="C73" s="6"/>
      <c r="D73" s="6"/>
      <c r="E73" s="6">
        <v>5</v>
      </c>
      <c r="F73" s="6"/>
      <c r="G73" s="6"/>
      <c r="H73" s="6"/>
      <c r="I73" s="68"/>
      <c r="J73" s="69" t="s">
        <v>384</v>
      </c>
      <c r="K73" s="69" t="s">
        <v>384</v>
      </c>
      <c r="L73" s="70">
        <v>12</v>
      </c>
      <c r="M73" s="6">
        <f t="shared" si="0"/>
        <v>48</v>
      </c>
      <c r="N73" s="89" t="s">
        <v>136</v>
      </c>
      <c r="O73" s="9"/>
      <c r="P73" s="72"/>
      <c r="Q73" s="6" t="s">
        <v>145</v>
      </c>
      <c r="R73" s="71" t="s">
        <v>384</v>
      </c>
      <c r="S73" s="9">
        <f>O72-7</f>
        <v>40522</v>
      </c>
      <c r="T73" s="7"/>
      <c r="U73" s="9"/>
      <c r="V73" s="110" t="s">
        <v>327</v>
      </c>
    </row>
    <row r="74" spans="1:22" ht="33" customHeight="1">
      <c r="A74" s="6"/>
      <c r="B74" s="6"/>
      <c r="C74" s="6"/>
      <c r="D74" s="6"/>
      <c r="E74" s="6">
        <v>5</v>
      </c>
      <c r="F74" s="6"/>
      <c r="G74" s="6"/>
      <c r="H74" s="6"/>
      <c r="I74" s="68"/>
      <c r="J74" s="69" t="s">
        <v>142</v>
      </c>
      <c r="K74" s="69" t="s">
        <v>142</v>
      </c>
      <c r="L74" s="70">
        <v>12</v>
      </c>
      <c r="M74" s="6">
        <f t="shared" si="0"/>
        <v>48</v>
      </c>
      <c r="N74" s="89" t="s">
        <v>136</v>
      </c>
      <c r="O74" s="9"/>
      <c r="P74" s="72"/>
      <c r="Q74" s="6" t="s">
        <v>145</v>
      </c>
      <c r="R74" s="67"/>
      <c r="S74" s="9">
        <f>O72-7</f>
        <v>40522</v>
      </c>
      <c r="T74" s="7"/>
      <c r="U74" s="9"/>
      <c r="V74" s="110" t="s">
        <v>327</v>
      </c>
    </row>
    <row r="75" spans="1:22" ht="33" customHeight="1">
      <c r="A75" s="6"/>
      <c r="B75" s="6"/>
      <c r="C75" s="6">
        <v>3</v>
      </c>
      <c r="D75" s="6"/>
      <c r="E75" s="6"/>
      <c r="F75" s="6"/>
      <c r="G75" s="6"/>
      <c r="H75" s="6"/>
      <c r="I75" s="68" t="s">
        <v>370</v>
      </c>
      <c r="J75" s="69" t="s">
        <v>371</v>
      </c>
      <c r="K75" s="69"/>
      <c r="L75" s="70">
        <v>1</v>
      </c>
      <c r="M75" s="6">
        <f t="shared" si="0"/>
        <v>4</v>
      </c>
      <c r="N75" s="89" t="s">
        <v>136</v>
      </c>
      <c r="O75" s="9" t="str">
        <f>TEXT($O$7-7,"m/d/yy")</f>
        <v>12/24/10</v>
      </c>
      <c r="P75" s="72" t="s">
        <v>415</v>
      </c>
      <c r="Q75" s="6" t="s">
        <v>146</v>
      </c>
      <c r="R75" s="67"/>
      <c r="S75" s="9"/>
      <c r="T75" s="7"/>
      <c r="U75" s="9"/>
      <c r="V75" s="85"/>
    </row>
    <row r="76" spans="1:22" ht="33" customHeight="1">
      <c r="A76" s="6"/>
      <c r="B76" s="6"/>
      <c r="C76" s="6"/>
      <c r="D76" s="6">
        <v>4</v>
      </c>
      <c r="E76" s="6"/>
      <c r="F76" s="6"/>
      <c r="G76" s="6"/>
      <c r="H76" s="6"/>
      <c r="I76" s="68" t="s">
        <v>372</v>
      </c>
      <c r="J76" s="69" t="s">
        <v>373</v>
      </c>
      <c r="K76" s="7"/>
      <c r="L76" s="70">
        <v>1</v>
      </c>
      <c r="M76" s="6">
        <f t="shared" si="0"/>
        <v>4</v>
      </c>
      <c r="N76" s="89" t="s">
        <v>136</v>
      </c>
      <c r="O76" s="9" t="str">
        <f>TEXT($O$8-7,"m/d/yy")</f>
        <v>12/17/10</v>
      </c>
      <c r="P76" s="72" t="s">
        <v>416</v>
      </c>
      <c r="Q76" s="6" t="s">
        <v>146</v>
      </c>
      <c r="R76" s="67"/>
      <c r="S76" s="9"/>
      <c r="T76" s="7"/>
      <c r="U76" s="9"/>
      <c r="V76" s="110" t="s">
        <v>327</v>
      </c>
    </row>
    <row r="77" spans="1:22" ht="33" customHeight="1">
      <c r="A77" s="6"/>
      <c r="B77" s="6"/>
      <c r="C77" s="6"/>
      <c r="D77" s="6"/>
      <c r="E77" s="6">
        <v>5</v>
      </c>
      <c r="F77" s="6"/>
      <c r="G77" s="6"/>
      <c r="H77" s="6"/>
      <c r="I77" s="68"/>
      <c r="J77" s="71" t="s">
        <v>374</v>
      </c>
      <c r="K77" s="71" t="s">
        <v>374</v>
      </c>
      <c r="L77" s="70">
        <v>1</v>
      </c>
      <c r="M77" s="6">
        <f t="shared" si="0"/>
        <v>4</v>
      </c>
      <c r="N77" s="89" t="s">
        <v>136</v>
      </c>
      <c r="O77" s="9"/>
      <c r="P77" s="72"/>
      <c r="Q77" s="6" t="s">
        <v>145</v>
      </c>
      <c r="R77" s="71" t="s">
        <v>375</v>
      </c>
      <c r="S77" s="9">
        <f>O76-7</f>
        <v>40522</v>
      </c>
      <c r="T77" s="7"/>
      <c r="U77" s="9"/>
      <c r="V77" s="110" t="s">
        <v>327</v>
      </c>
    </row>
    <row r="78" spans="1:22" ht="33" customHeight="1">
      <c r="A78" s="6"/>
      <c r="B78" s="6"/>
      <c r="C78" s="6"/>
      <c r="D78" s="6">
        <v>4</v>
      </c>
      <c r="E78" s="6"/>
      <c r="F78" s="6"/>
      <c r="G78" s="6"/>
      <c r="H78" s="6"/>
      <c r="I78" s="68" t="s">
        <v>140</v>
      </c>
      <c r="J78" s="69" t="s">
        <v>376</v>
      </c>
      <c r="K78" s="69"/>
      <c r="L78" s="70">
        <v>1</v>
      </c>
      <c r="M78" s="6">
        <f t="shared" si="0"/>
        <v>4</v>
      </c>
      <c r="N78" s="89" t="s">
        <v>136</v>
      </c>
      <c r="O78" s="9"/>
      <c r="P78" s="72"/>
      <c r="Q78" s="6" t="s">
        <v>145</v>
      </c>
      <c r="R78" s="71" t="s">
        <v>376</v>
      </c>
      <c r="S78" s="9">
        <f>O75-7</f>
        <v>40529</v>
      </c>
      <c r="T78" s="7"/>
      <c r="U78" s="9"/>
      <c r="V78" s="110" t="s">
        <v>327</v>
      </c>
    </row>
    <row r="79" spans="1:22" ht="33" customHeight="1">
      <c r="A79" s="6"/>
      <c r="B79" s="6">
        <v>2</v>
      </c>
      <c r="C79" s="6"/>
      <c r="D79" s="6"/>
      <c r="E79" s="6"/>
      <c r="F79" s="6"/>
      <c r="G79" s="6"/>
      <c r="H79" s="6"/>
      <c r="I79" s="68" t="s">
        <v>97</v>
      </c>
      <c r="J79" s="69" t="s">
        <v>98</v>
      </c>
      <c r="K79" s="69"/>
      <c r="L79" s="70">
        <v>16</v>
      </c>
      <c r="M79" s="6">
        <f t="shared" si="0"/>
        <v>64</v>
      </c>
      <c r="N79" s="89" t="s">
        <v>136</v>
      </c>
      <c r="O79" s="9"/>
      <c r="P79" s="72"/>
      <c r="Q79" s="6" t="s">
        <v>145</v>
      </c>
      <c r="R79" s="71" t="s">
        <v>98</v>
      </c>
      <c r="S79" s="9" t="str">
        <f aca="true" t="shared" si="1" ref="S79:S90">$O$8</f>
        <v>12/24/10</v>
      </c>
      <c r="T79" s="7"/>
      <c r="U79" s="9"/>
      <c r="V79" s="110" t="s">
        <v>327</v>
      </c>
    </row>
    <row r="80" spans="1:22" ht="33" customHeight="1">
      <c r="A80" s="6"/>
      <c r="B80" s="6">
        <v>2</v>
      </c>
      <c r="C80" s="6"/>
      <c r="D80" s="6"/>
      <c r="E80" s="6"/>
      <c r="F80" s="6"/>
      <c r="G80" s="6"/>
      <c r="H80" s="6"/>
      <c r="I80" s="68" t="s">
        <v>426</v>
      </c>
      <c r="J80" s="69" t="s">
        <v>427</v>
      </c>
      <c r="K80" s="69"/>
      <c r="L80" s="70">
        <v>16</v>
      </c>
      <c r="M80" s="6">
        <f t="shared" si="0"/>
        <v>64</v>
      </c>
      <c r="N80" s="89" t="s">
        <v>423</v>
      </c>
      <c r="O80" s="9"/>
      <c r="P80" s="72"/>
      <c r="Q80" s="6" t="s">
        <v>145</v>
      </c>
      <c r="R80" s="71" t="s">
        <v>427</v>
      </c>
      <c r="S80" s="9" t="str">
        <f t="shared" si="1"/>
        <v>12/24/10</v>
      </c>
      <c r="T80" s="7"/>
      <c r="U80" s="9"/>
      <c r="V80" s="110" t="s">
        <v>327</v>
      </c>
    </row>
    <row r="81" spans="1:22" ht="33" customHeight="1">
      <c r="A81" s="6"/>
      <c r="B81" s="6">
        <v>2</v>
      </c>
      <c r="C81" s="6"/>
      <c r="D81" s="6"/>
      <c r="E81" s="6"/>
      <c r="F81" s="6"/>
      <c r="G81" s="6"/>
      <c r="H81" s="6"/>
      <c r="I81" s="68" t="s">
        <v>99</v>
      </c>
      <c r="J81" s="69" t="s">
        <v>100</v>
      </c>
      <c r="K81" s="69"/>
      <c r="L81" s="70">
        <v>13</v>
      </c>
      <c r="M81" s="6">
        <f t="shared" si="0"/>
        <v>52</v>
      </c>
      <c r="N81" s="89" t="s">
        <v>138</v>
      </c>
      <c r="O81" s="9"/>
      <c r="P81" s="72"/>
      <c r="Q81" s="6" t="s">
        <v>145</v>
      </c>
      <c r="R81" s="71" t="s">
        <v>100</v>
      </c>
      <c r="S81" s="9" t="str">
        <f t="shared" si="1"/>
        <v>12/24/10</v>
      </c>
      <c r="T81" s="7"/>
      <c r="U81" s="9"/>
      <c r="V81" s="110" t="s">
        <v>327</v>
      </c>
    </row>
    <row r="82" spans="1:22" ht="33" customHeight="1">
      <c r="A82" s="6"/>
      <c r="B82" s="6">
        <v>2</v>
      </c>
      <c r="C82" s="6"/>
      <c r="D82" s="6"/>
      <c r="E82" s="6"/>
      <c r="F82" s="6"/>
      <c r="G82" s="6"/>
      <c r="H82" s="6"/>
      <c r="I82" s="68" t="s">
        <v>101</v>
      </c>
      <c r="J82" s="69" t="s">
        <v>102</v>
      </c>
      <c r="K82" s="69"/>
      <c r="L82" s="70">
        <v>5</v>
      </c>
      <c r="M82" s="6">
        <f t="shared" si="0"/>
        <v>20</v>
      </c>
      <c r="N82" s="89" t="s">
        <v>138</v>
      </c>
      <c r="O82" s="9"/>
      <c r="P82" s="72"/>
      <c r="Q82" s="6" t="s">
        <v>145</v>
      </c>
      <c r="R82" s="71" t="s">
        <v>102</v>
      </c>
      <c r="S82" s="9" t="str">
        <f t="shared" si="1"/>
        <v>12/24/10</v>
      </c>
      <c r="T82" s="7"/>
      <c r="U82" s="9"/>
      <c r="V82" s="110" t="s">
        <v>327</v>
      </c>
    </row>
    <row r="83" spans="1:22" ht="33" customHeight="1">
      <c r="A83" s="6"/>
      <c r="B83" s="6">
        <v>2</v>
      </c>
      <c r="C83" s="6"/>
      <c r="D83" s="6"/>
      <c r="E83" s="6"/>
      <c r="F83" s="6"/>
      <c r="G83" s="6"/>
      <c r="H83" s="6"/>
      <c r="I83" s="68" t="s">
        <v>103</v>
      </c>
      <c r="J83" s="69" t="s">
        <v>104</v>
      </c>
      <c r="K83" s="69"/>
      <c r="L83" s="70">
        <v>5</v>
      </c>
      <c r="M83" s="6">
        <f t="shared" si="0"/>
        <v>20</v>
      </c>
      <c r="N83" s="89" t="s">
        <v>136</v>
      </c>
      <c r="O83" s="9"/>
      <c r="P83" s="72"/>
      <c r="Q83" s="6" t="s">
        <v>145</v>
      </c>
      <c r="R83" s="71" t="s">
        <v>104</v>
      </c>
      <c r="S83" s="9" t="str">
        <f t="shared" si="1"/>
        <v>12/24/10</v>
      </c>
      <c r="T83" s="7"/>
      <c r="U83" s="9"/>
      <c r="V83" s="110" t="s">
        <v>327</v>
      </c>
    </row>
    <row r="84" spans="1:22" ht="33" customHeight="1">
      <c r="A84" s="6"/>
      <c r="B84" s="6">
        <v>2</v>
      </c>
      <c r="C84" s="6"/>
      <c r="D84" s="6"/>
      <c r="E84" s="6"/>
      <c r="F84" s="6"/>
      <c r="G84" s="6"/>
      <c r="H84" s="6"/>
      <c r="I84" s="68" t="s">
        <v>105</v>
      </c>
      <c r="J84" s="69" t="s">
        <v>106</v>
      </c>
      <c r="K84" s="69"/>
      <c r="L84" s="70">
        <v>13</v>
      </c>
      <c r="M84" s="6">
        <f t="shared" si="0"/>
        <v>52</v>
      </c>
      <c r="N84" s="89" t="s">
        <v>136</v>
      </c>
      <c r="O84" s="9"/>
      <c r="P84" s="72"/>
      <c r="Q84" s="6" t="s">
        <v>145</v>
      </c>
      <c r="R84" s="71" t="s">
        <v>106</v>
      </c>
      <c r="S84" s="9" t="str">
        <f t="shared" si="1"/>
        <v>12/24/10</v>
      </c>
      <c r="T84" s="7"/>
      <c r="U84" s="9"/>
      <c r="V84" s="110" t="s">
        <v>327</v>
      </c>
    </row>
    <row r="85" spans="1:22" ht="33" customHeight="1">
      <c r="A85" s="6"/>
      <c r="B85" s="6">
        <v>2</v>
      </c>
      <c r="C85" s="6"/>
      <c r="D85" s="6"/>
      <c r="E85" s="6"/>
      <c r="F85" s="6"/>
      <c r="G85" s="6"/>
      <c r="H85" s="6"/>
      <c r="I85" s="68" t="s">
        <v>428</v>
      </c>
      <c r="J85" s="69" t="s">
        <v>429</v>
      </c>
      <c r="K85" s="69"/>
      <c r="L85" s="70">
        <v>472</v>
      </c>
      <c r="M85" s="6">
        <f t="shared" si="0"/>
        <v>1888</v>
      </c>
      <c r="N85" s="89" t="s">
        <v>423</v>
      </c>
      <c r="O85" s="9"/>
      <c r="P85" s="72"/>
      <c r="Q85" s="6" t="s">
        <v>145</v>
      </c>
      <c r="R85" s="71" t="s">
        <v>429</v>
      </c>
      <c r="S85" s="9" t="str">
        <f t="shared" si="1"/>
        <v>12/24/10</v>
      </c>
      <c r="T85" s="7"/>
      <c r="U85" s="9"/>
      <c r="V85" s="110" t="s">
        <v>327</v>
      </c>
    </row>
    <row r="86" spans="1:22" ht="33" customHeight="1">
      <c r="A86" s="6"/>
      <c r="B86" s="6">
        <v>2</v>
      </c>
      <c r="C86" s="6"/>
      <c r="D86" s="6"/>
      <c r="E86" s="6"/>
      <c r="F86" s="6"/>
      <c r="G86" s="6"/>
      <c r="H86" s="6"/>
      <c r="I86" s="68" t="s">
        <v>430</v>
      </c>
      <c r="J86" s="69" t="s">
        <v>431</v>
      </c>
      <c r="K86" s="69"/>
      <c r="L86" s="70">
        <v>944</v>
      </c>
      <c r="M86" s="6">
        <f aca="true" t="shared" si="2" ref="M86:M97">$L$1*L86</f>
        <v>3776</v>
      </c>
      <c r="N86" s="89" t="s">
        <v>423</v>
      </c>
      <c r="O86" s="9"/>
      <c r="P86" s="72"/>
      <c r="Q86" s="6" t="s">
        <v>145</v>
      </c>
      <c r="R86" s="71" t="s">
        <v>431</v>
      </c>
      <c r="S86" s="9" t="str">
        <f t="shared" si="1"/>
        <v>12/24/10</v>
      </c>
      <c r="T86" s="7"/>
      <c r="U86" s="9"/>
      <c r="V86" s="110" t="s">
        <v>327</v>
      </c>
    </row>
    <row r="87" spans="1:22" ht="33" customHeight="1">
      <c r="A87" s="6"/>
      <c r="B87" s="6">
        <v>2</v>
      </c>
      <c r="C87" s="6"/>
      <c r="D87" s="6"/>
      <c r="E87" s="6"/>
      <c r="F87" s="6"/>
      <c r="G87" s="6"/>
      <c r="H87" s="6"/>
      <c r="I87" s="68" t="s">
        <v>432</v>
      </c>
      <c r="J87" s="69" t="s">
        <v>433</v>
      </c>
      <c r="K87" s="69"/>
      <c r="L87" s="70">
        <v>312</v>
      </c>
      <c r="M87" s="6">
        <f t="shared" si="2"/>
        <v>1248</v>
      </c>
      <c r="N87" s="89" t="s">
        <v>423</v>
      </c>
      <c r="O87" s="9"/>
      <c r="P87" s="72"/>
      <c r="Q87" s="6" t="s">
        <v>145</v>
      </c>
      <c r="R87" s="71" t="s">
        <v>433</v>
      </c>
      <c r="S87" s="9" t="str">
        <f t="shared" si="1"/>
        <v>12/24/10</v>
      </c>
      <c r="T87" s="7"/>
      <c r="U87" s="9"/>
      <c r="V87" s="110" t="s">
        <v>327</v>
      </c>
    </row>
    <row r="88" spans="1:22" ht="33" customHeight="1">
      <c r="A88" s="6"/>
      <c r="B88" s="6">
        <v>2</v>
      </c>
      <c r="C88" s="6"/>
      <c r="D88" s="6"/>
      <c r="E88" s="6"/>
      <c r="F88" s="6"/>
      <c r="G88" s="6"/>
      <c r="H88" s="6"/>
      <c r="I88" s="68" t="s">
        <v>434</v>
      </c>
      <c r="J88" s="69" t="s">
        <v>435</v>
      </c>
      <c r="K88" s="69"/>
      <c r="L88" s="70">
        <v>20</v>
      </c>
      <c r="M88" s="6">
        <f t="shared" si="2"/>
        <v>80</v>
      </c>
      <c r="N88" s="89" t="s">
        <v>423</v>
      </c>
      <c r="O88" s="9"/>
      <c r="P88" s="72"/>
      <c r="Q88" s="6" t="s">
        <v>145</v>
      </c>
      <c r="R88" s="71" t="s">
        <v>435</v>
      </c>
      <c r="S88" s="9" t="str">
        <f t="shared" si="1"/>
        <v>12/24/10</v>
      </c>
      <c r="T88" s="7"/>
      <c r="U88" s="9"/>
      <c r="V88" s="110" t="s">
        <v>327</v>
      </c>
    </row>
    <row r="89" spans="1:22" ht="33" customHeight="1">
      <c r="A89" s="6"/>
      <c r="B89" s="6">
        <v>2</v>
      </c>
      <c r="C89" s="6"/>
      <c r="D89" s="6"/>
      <c r="E89" s="6"/>
      <c r="F89" s="6"/>
      <c r="G89" s="6"/>
      <c r="H89" s="6"/>
      <c r="I89" s="68" t="s">
        <v>436</v>
      </c>
      <c r="J89" s="69" t="s">
        <v>437</v>
      </c>
      <c r="K89" s="69"/>
      <c r="L89" s="70">
        <v>160</v>
      </c>
      <c r="M89" s="6">
        <f t="shared" si="2"/>
        <v>640</v>
      </c>
      <c r="N89" s="89" t="s">
        <v>423</v>
      </c>
      <c r="O89" s="9"/>
      <c r="P89" s="72"/>
      <c r="Q89" s="6" t="s">
        <v>145</v>
      </c>
      <c r="R89" s="71" t="s">
        <v>437</v>
      </c>
      <c r="S89" s="9" t="str">
        <f t="shared" si="1"/>
        <v>12/24/10</v>
      </c>
      <c r="T89" s="7"/>
      <c r="U89" s="9"/>
      <c r="V89" s="110" t="s">
        <v>327</v>
      </c>
    </row>
    <row r="90" spans="1:22" ht="33" customHeight="1">
      <c r="A90" s="6"/>
      <c r="B90" s="6">
        <v>2</v>
      </c>
      <c r="C90" s="6"/>
      <c r="D90" s="6"/>
      <c r="E90" s="6"/>
      <c r="F90" s="6"/>
      <c r="G90" s="6"/>
      <c r="H90" s="6"/>
      <c r="I90" s="68" t="s">
        <v>438</v>
      </c>
      <c r="J90" s="69" t="s">
        <v>439</v>
      </c>
      <c r="K90" s="69"/>
      <c r="L90" s="70">
        <v>16</v>
      </c>
      <c r="M90" s="6">
        <f t="shared" si="2"/>
        <v>64</v>
      </c>
      <c r="N90" s="89" t="s">
        <v>423</v>
      </c>
      <c r="O90" s="9"/>
      <c r="P90" s="72"/>
      <c r="Q90" s="6" t="s">
        <v>145</v>
      </c>
      <c r="R90" s="71" t="s">
        <v>377</v>
      </c>
      <c r="S90" s="9" t="str">
        <f t="shared" si="1"/>
        <v>12/24/10</v>
      </c>
      <c r="T90" s="7"/>
      <c r="U90" s="9"/>
      <c r="V90" s="110" t="s">
        <v>327</v>
      </c>
    </row>
    <row r="91" spans="1:22" ht="33" customHeight="1">
      <c r="A91" s="6"/>
      <c r="B91" s="6">
        <v>2</v>
      </c>
      <c r="C91" s="6"/>
      <c r="D91" s="6"/>
      <c r="E91" s="6"/>
      <c r="F91" s="6"/>
      <c r="G91" s="6"/>
      <c r="H91" s="6"/>
      <c r="I91" s="68" t="s">
        <v>340</v>
      </c>
      <c r="J91" s="69" t="s">
        <v>378</v>
      </c>
      <c r="K91" s="69"/>
      <c r="L91" s="70">
        <v>4</v>
      </c>
      <c r="M91" s="6">
        <f t="shared" si="2"/>
        <v>16</v>
      </c>
      <c r="N91" s="89" t="s">
        <v>139</v>
      </c>
      <c r="O91" s="9" t="str">
        <f>TEXT($O$6-7,"m/d/yy")</f>
        <v>12/31/10</v>
      </c>
      <c r="P91" s="72" t="s">
        <v>417</v>
      </c>
      <c r="Q91" s="6" t="s">
        <v>146</v>
      </c>
      <c r="R91" s="67"/>
      <c r="S91" s="9"/>
      <c r="T91" s="7"/>
      <c r="U91" s="9"/>
      <c r="V91" s="85"/>
    </row>
    <row r="92" spans="1:22" ht="33" customHeight="1">
      <c r="A92" s="6"/>
      <c r="B92" s="6"/>
      <c r="C92" s="6">
        <v>3</v>
      </c>
      <c r="D92" s="6"/>
      <c r="E92" s="6"/>
      <c r="F92" s="6"/>
      <c r="G92" s="6"/>
      <c r="H92" s="6"/>
      <c r="I92" s="68" t="s">
        <v>130</v>
      </c>
      <c r="J92" s="69" t="s">
        <v>107</v>
      </c>
      <c r="K92" s="7"/>
      <c r="L92" s="70">
        <v>4</v>
      </c>
      <c r="M92" s="6">
        <f t="shared" si="2"/>
        <v>16</v>
      </c>
      <c r="N92" s="89" t="s">
        <v>139</v>
      </c>
      <c r="O92" s="9" t="str">
        <f>TEXT($O$7-7,"m/d/yy")</f>
        <v>12/24/10</v>
      </c>
      <c r="P92" s="72" t="s">
        <v>418</v>
      </c>
      <c r="Q92" s="6" t="s">
        <v>146</v>
      </c>
      <c r="R92" s="67"/>
      <c r="S92" s="9"/>
      <c r="T92" s="7"/>
      <c r="U92" s="9"/>
      <c r="V92" s="85"/>
    </row>
    <row r="93" spans="1:22" ht="33" customHeight="1">
      <c r="A93" s="6"/>
      <c r="B93" s="6"/>
      <c r="C93" s="6"/>
      <c r="D93" s="6">
        <v>4</v>
      </c>
      <c r="E93" s="6"/>
      <c r="F93" s="6"/>
      <c r="G93" s="6"/>
      <c r="H93" s="6"/>
      <c r="I93" s="68"/>
      <c r="J93" s="71" t="s">
        <v>157</v>
      </c>
      <c r="K93" s="69" t="s">
        <v>108</v>
      </c>
      <c r="L93" s="70">
        <v>4</v>
      </c>
      <c r="M93" s="6">
        <f t="shared" si="2"/>
        <v>16</v>
      </c>
      <c r="N93" s="89" t="s">
        <v>139</v>
      </c>
      <c r="O93" s="9"/>
      <c r="P93" s="72"/>
      <c r="Q93" s="6" t="s">
        <v>145</v>
      </c>
      <c r="R93" s="71" t="s">
        <v>157</v>
      </c>
      <c r="S93" s="9">
        <v>40497</v>
      </c>
      <c r="T93" s="7"/>
      <c r="U93" s="9"/>
      <c r="V93" s="110" t="s">
        <v>327</v>
      </c>
    </row>
    <row r="94" spans="1:22" ht="33" customHeight="1">
      <c r="A94" s="6"/>
      <c r="B94" s="6"/>
      <c r="C94" s="6">
        <v>3</v>
      </c>
      <c r="D94" s="6"/>
      <c r="E94" s="6"/>
      <c r="F94" s="6"/>
      <c r="G94" s="6"/>
      <c r="H94" s="6"/>
      <c r="I94" s="68" t="s">
        <v>131</v>
      </c>
      <c r="J94" s="69" t="s">
        <v>109</v>
      </c>
      <c r="K94" s="7"/>
      <c r="L94" s="70">
        <v>4</v>
      </c>
      <c r="M94" s="6">
        <f t="shared" si="2"/>
        <v>16</v>
      </c>
      <c r="N94" s="89" t="s">
        <v>139</v>
      </c>
      <c r="O94" s="9" t="str">
        <f>TEXT($O$7-7,"m/d/yy")</f>
        <v>12/24/10</v>
      </c>
      <c r="P94" s="72" t="s">
        <v>419</v>
      </c>
      <c r="Q94" s="6" t="s">
        <v>146</v>
      </c>
      <c r="R94" s="67"/>
      <c r="S94" s="9"/>
      <c r="T94" s="7"/>
      <c r="U94" s="9"/>
      <c r="V94" s="85"/>
    </row>
    <row r="95" spans="1:22" ht="33" customHeight="1">
      <c r="A95" s="6"/>
      <c r="B95" s="6"/>
      <c r="C95" s="6"/>
      <c r="D95" s="6">
        <v>4</v>
      </c>
      <c r="E95" s="6"/>
      <c r="F95" s="6"/>
      <c r="G95" s="6"/>
      <c r="H95" s="6"/>
      <c r="I95" s="68"/>
      <c r="J95" s="71" t="s">
        <v>158</v>
      </c>
      <c r="K95" s="69" t="s">
        <v>110</v>
      </c>
      <c r="L95" s="70">
        <v>4</v>
      </c>
      <c r="M95" s="6">
        <f t="shared" si="2"/>
        <v>16</v>
      </c>
      <c r="N95" s="89" t="s">
        <v>139</v>
      </c>
      <c r="O95" s="9"/>
      <c r="P95" s="72"/>
      <c r="Q95" s="6" t="s">
        <v>145</v>
      </c>
      <c r="R95" s="71" t="s">
        <v>158</v>
      </c>
      <c r="S95" s="9">
        <v>40497</v>
      </c>
      <c r="T95" s="7"/>
      <c r="U95" s="9"/>
      <c r="V95" s="110" t="s">
        <v>327</v>
      </c>
    </row>
    <row r="96" spans="1:22" ht="33" customHeight="1">
      <c r="A96" s="6"/>
      <c r="B96" s="6"/>
      <c r="C96" s="6">
        <v>3</v>
      </c>
      <c r="D96" s="6"/>
      <c r="E96" s="6"/>
      <c r="F96" s="6"/>
      <c r="G96" s="6"/>
      <c r="H96" s="6"/>
      <c r="I96" s="68" t="s">
        <v>132</v>
      </c>
      <c r="J96" s="69" t="s">
        <v>111</v>
      </c>
      <c r="K96" s="7"/>
      <c r="L96" s="70">
        <v>4</v>
      </c>
      <c r="M96" s="6">
        <f t="shared" si="2"/>
        <v>16</v>
      </c>
      <c r="N96" s="89" t="s">
        <v>139</v>
      </c>
      <c r="O96" s="9" t="str">
        <f>TEXT($O$7-7,"m/d/yy")</f>
        <v>12/24/10</v>
      </c>
      <c r="P96" s="72" t="s">
        <v>420</v>
      </c>
      <c r="Q96" s="6" t="s">
        <v>146</v>
      </c>
      <c r="R96" s="67"/>
      <c r="S96" s="9"/>
      <c r="T96" s="7"/>
      <c r="U96" s="9"/>
      <c r="V96" s="85"/>
    </row>
    <row r="97" spans="1:22" ht="33" customHeight="1">
      <c r="A97" s="6"/>
      <c r="B97" s="6"/>
      <c r="C97" s="6"/>
      <c r="D97" s="6">
        <v>4</v>
      </c>
      <c r="E97" s="6"/>
      <c r="F97" s="6"/>
      <c r="G97" s="6"/>
      <c r="H97" s="6"/>
      <c r="I97" s="68"/>
      <c r="J97" s="71" t="s">
        <v>159</v>
      </c>
      <c r="K97" s="69" t="s">
        <v>112</v>
      </c>
      <c r="L97" s="70">
        <v>4</v>
      </c>
      <c r="M97" s="6">
        <f t="shared" si="2"/>
        <v>16</v>
      </c>
      <c r="N97" s="89" t="s">
        <v>139</v>
      </c>
      <c r="O97" s="9"/>
      <c r="P97" s="72"/>
      <c r="Q97" s="6" t="s">
        <v>145</v>
      </c>
      <c r="R97" s="71" t="s">
        <v>159</v>
      </c>
      <c r="S97" s="9">
        <v>40497</v>
      </c>
      <c r="T97" s="7"/>
      <c r="U97" s="9"/>
      <c r="V97" s="110" t="s">
        <v>327</v>
      </c>
    </row>
    <row r="98" spans="1:22" s="146" customFormat="1" ht="30" customHeight="1">
      <c r="A98" s="141"/>
      <c r="B98" s="141"/>
      <c r="C98" s="141">
        <v>3</v>
      </c>
      <c r="D98" s="141"/>
      <c r="E98" s="141"/>
      <c r="F98" s="141"/>
      <c r="G98" s="141"/>
      <c r="H98" s="141"/>
      <c r="I98" s="68"/>
      <c r="J98" s="71" t="s">
        <v>440</v>
      </c>
      <c r="K98" s="71" t="s">
        <v>440</v>
      </c>
      <c r="L98" s="70" t="s">
        <v>295</v>
      </c>
      <c r="M98" s="141" t="s">
        <v>295</v>
      </c>
      <c r="N98" s="142" t="s">
        <v>441</v>
      </c>
      <c r="O98" s="143"/>
      <c r="P98" s="144"/>
      <c r="Q98" s="141" t="s">
        <v>145</v>
      </c>
      <c r="R98" s="71" t="s">
        <v>441</v>
      </c>
      <c r="S98" s="143">
        <v>40492</v>
      </c>
      <c r="T98" s="145"/>
      <c r="U98" s="143"/>
      <c r="V98" s="110" t="s">
        <v>539</v>
      </c>
    </row>
    <row r="99" spans="1:22" s="111" customFormat="1" ht="30" customHeight="1">
      <c r="A99" s="131">
        <v>1</v>
      </c>
      <c r="B99" s="6"/>
      <c r="C99" s="6"/>
      <c r="D99" s="6"/>
      <c r="E99" s="6"/>
      <c r="F99" s="6"/>
      <c r="G99" s="6"/>
      <c r="H99" s="7" t="s">
        <v>96</v>
      </c>
      <c r="I99" s="8" t="s">
        <v>96</v>
      </c>
      <c r="J99" s="67" t="s">
        <v>521</v>
      </c>
      <c r="K99" s="132" t="s">
        <v>521</v>
      </c>
      <c r="L99" s="133">
        <v>1</v>
      </c>
      <c r="M99" s="134">
        <f>L99*$L$1</f>
        <v>4</v>
      </c>
      <c r="N99" s="135" t="s">
        <v>522</v>
      </c>
      <c r="O99" s="136"/>
      <c r="P99" s="69"/>
      <c r="Q99" s="6" t="s">
        <v>145</v>
      </c>
      <c r="R99" s="132" t="s">
        <v>521</v>
      </c>
      <c r="S99" s="9">
        <v>40503</v>
      </c>
      <c r="T99" s="7"/>
      <c r="U99" s="9"/>
      <c r="V99" s="112" t="s">
        <v>327</v>
      </c>
    </row>
    <row r="100" spans="1:22" s="121" customFormat="1" ht="30.75" customHeight="1">
      <c r="A100" s="113">
        <v>1</v>
      </c>
      <c r="B100" s="92"/>
      <c r="C100" s="92"/>
      <c r="D100" s="92"/>
      <c r="E100" s="92"/>
      <c r="F100" s="92"/>
      <c r="G100" s="92"/>
      <c r="H100" s="96" t="s">
        <v>96</v>
      </c>
      <c r="I100" s="114" t="s">
        <v>507</v>
      </c>
      <c r="J100" s="115" t="s">
        <v>506</v>
      </c>
      <c r="K100" s="116"/>
      <c r="L100" s="117">
        <v>1</v>
      </c>
      <c r="M100" s="118">
        <f aca="true" t="shared" si="3" ref="M100:M135">L100*$L$1</f>
        <v>4</v>
      </c>
      <c r="N100" s="119" t="s">
        <v>442</v>
      </c>
      <c r="O100" s="95" t="str">
        <f>TEXT($O$6-7,"m/d/yy")</f>
        <v>12/31/10</v>
      </c>
      <c r="P100" s="92" t="s">
        <v>443</v>
      </c>
      <c r="Q100" s="92" t="s">
        <v>146</v>
      </c>
      <c r="R100" s="119" t="s">
        <v>84</v>
      </c>
      <c r="S100" s="95"/>
      <c r="T100" s="96"/>
      <c r="U100" s="95"/>
      <c r="V100" s="120"/>
    </row>
    <row r="101" spans="1:22" s="121" customFormat="1" ht="30" customHeight="1">
      <c r="A101" s="113">
        <v>1</v>
      </c>
      <c r="B101" s="92"/>
      <c r="C101" s="92"/>
      <c r="D101" s="92"/>
      <c r="E101" s="92"/>
      <c r="F101" s="92"/>
      <c r="G101" s="92"/>
      <c r="H101" s="96" t="s">
        <v>96</v>
      </c>
      <c r="I101" s="114" t="s">
        <v>509</v>
      </c>
      <c r="J101" s="115" t="s">
        <v>508</v>
      </c>
      <c r="K101" s="116"/>
      <c r="L101" s="117">
        <v>1</v>
      </c>
      <c r="M101" s="118">
        <f t="shared" si="3"/>
        <v>4</v>
      </c>
      <c r="N101" s="119" t="s">
        <v>442</v>
      </c>
      <c r="O101" s="95" t="str">
        <f>TEXT($O$6-7,"m/d/yy")</f>
        <v>12/31/10</v>
      </c>
      <c r="P101" s="92" t="s">
        <v>444</v>
      </c>
      <c r="Q101" s="92" t="s">
        <v>146</v>
      </c>
      <c r="R101" s="119" t="s">
        <v>84</v>
      </c>
      <c r="S101" s="95"/>
      <c r="T101" s="96"/>
      <c r="U101" s="95"/>
      <c r="V101" s="120"/>
    </row>
    <row r="102" spans="1:22" s="121" customFormat="1" ht="30" customHeight="1">
      <c r="A102" s="113"/>
      <c r="B102" s="92">
        <v>2</v>
      </c>
      <c r="C102" s="92"/>
      <c r="D102" s="92"/>
      <c r="E102" s="92"/>
      <c r="F102" s="92"/>
      <c r="G102" s="92"/>
      <c r="H102" s="96" t="s">
        <v>96</v>
      </c>
      <c r="I102" s="114" t="s">
        <v>510</v>
      </c>
      <c r="J102" s="115" t="s">
        <v>512</v>
      </c>
      <c r="K102" s="116"/>
      <c r="L102" s="117">
        <v>1</v>
      </c>
      <c r="M102" s="118">
        <f t="shared" si="3"/>
        <v>4</v>
      </c>
      <c r="N102" s="119" t="s">
        <v>442</v>
      </c>
      <c r="O102" s="95" t="str">
        <f>TEXT($O$7-7,"m/d/yy")</f>
        <v>12/24/10</v>
      </c>
      <c r="P102" s="92" t="s">
        <v>445</v>
      </c>
      <c r="Q102" s="92" t="s">
        <v>146</v>
      </c>
      <c r="R102" s="119" t="s">
        <v>84</v>
      </c>
      <c r="S102" s="95"/>
      <c r="T102" s="96"/>
      <c r="U102" s="95"/>
      <c r="V102" s="120"/>
    </row>
    <row r="103" spans="1:22" s="121" customFormat="1" ht="30" customHeight="1">
      <c r="A103" s="113"/>
      <c r="B103" s="92">
        <v>2</v>
      </c>
      <c r="C103" s="92"/>
      <c r="D103" s="92"/>
      <c r="E103" s="92"/>
      <c r="F103" s="92"/>
      <c r="G103" s="92"/>
      <c r="H103" s="96" t="s">
        <v>96</v>
      </c>
      <c r="I103" s="114" t="s">
        <v>511</v>
      </c>
      <c r="J103" s="115" t="s">
        <v>513</v>
      </c>
      <c r="K103" s="116"/>
      <c r="L103" s="117">
        <v>2</v>
      </c>
      <c r="M103" s="118">
        <f t="shared" si="3"/>
        <v>8</v>
      </c>
      <c r="N103" s="119" t="s">
        <v>84</v>
      </c>
      <c r="O103" s="95" t="str">
        <f>TEXT($O$7-7,"m/d/yy")</f>
        <v>12/24/10</v>
      </c>
      <c r="P103" s="92" t="s">
        <v>446</v>
      </c>
      <c r="Q103" s="92" t="s">
        <v>146</v>
      </c>
      <c r="R103" s="119" t="s">
        <v>84</v>
      </c>
      <c r="S103" s="95"/>
      <c r="T103" s="96"/>
      <c r="U103" s="95"/>
      <c r="V103" s="120"/>
    </row>
    <row r="104" spans="1:22" s="121" customFormat="1" ht="30" customHeight="1">
      <c r="A104" s="113"/>
      <c r="B104" s="92">
        <v>2</v>
      </c>
      <c r="C104" s="92"/>
      <c r="D104" s="92"/>
      <c r="E104" s="92"/>
      <c r="F104" s="92"/>
      <c r="G104" s="92"/>
      <c r="H104" s="96" t="s">
        <v>96</v>
      </c>
      <c r="I104" s="114" t="s">
        <v>447</v>
      </c>
      <c r="J104" s="115" t="s">
        <v>448</v>
      </c>
      <c r="K104" s="116"/>
      <c r="L104" s="117">
        <v>1</v>
      </c>
      <c r="M104" s="118">
        <f t="shared" si="3"/>
        <v>4</v>
      </c>
      <c r="N104" s="119" t="s">
        <v>84</v>
      </c>
      <c r="O104" s="95" t="str">
        <f>TEXT($O$7-7,"m/d/yy")</f>
        <v>12/24/10</v>
      </c>
      <c r="P104" s="92" t="s">
        <v>449</v>
      </c>
      <c r="Q104" s="92" t="s">
        <v>146</v>
      </c>
      <c r="R104" s="119" t="s">
        <v>84</v>
      </c>
      <c r="S104" s="95"/>
      <c r="T104" s="96"/>
      <c r="U104" s="95"/>
      <c r="V104" s="120"/>
    </row>
    <row r="105" spans="1:22" s="121" customFormat="1" ht="30" customHeight="1">
      <c r="A105" s="113"/>
      <c r="B105" s="92">
        <v>2</v>
      </c>
      <c r="C105" s="92"/>
      <c r="D105" s="92"/>
      <c r="E105" s="92"/>
      <c r="F105" s="92"/>
      <c r="G105" s="92"/>
      <c r="H105" s="96" t="s">
        <v>96</v>
      </c>
      <c r="I105" s="114" t="s">
        <v>450</v>
      </c>
      <c r="J105" s="115" t="s">
        <v>451</v>
      </c>
      <c r="K105" s="116"/>
      <c r="L105" s="117">
        <v>1</v>
      </c>
      <c r="M105" s="118">
        <f t="shared" si="3"/>
        <v>4</v>
      </c>
      <c r="N105" s="119" t="s">
        <v>84</v>
      </c>
      <c r="O105" s="95" t="str">
        <f>TEXT($O$7-7,"m/d/yy")</f>
        <v>12/24/10</v>
      </c>
      <c r="P105" s="92" t="s">
        <v>452</v>
      </c>
      <c r="Q105" s="92" t="s">
        <v>146</v>
      </c>
      <c r="R105" s="119" t="s">
        <v>84</v>
      </c>
      <c r="S105" s="95"/>
      <c r="T105" s="96"/>
      <c r="U105" s="95"/>
      <c r="V105" s="120"/>
    </row>
    <row r="106" spans="1:22" s="121" customFormat="1" ht="30" customHeight="1">
      <c r="A106" s="113"/>
      <c r="B106" s="92"/>
      <c r="C106" s="92">
        <v>3</v>
      </c>
      <c r="D106" s="92"/>
      <c r="E106" s="92"/>
      <c r="F106" s="92"/>
      <c r="G106" s="92"/>
      <c r="H106" s="96" t="s">
        <v>96</v>
      </c>
      <c r="I106" s="114" t="s">
        <v>453</v>
      </c>
      <c r="J106" s="115" t="s">
        <v>454</v>
      </c>
      <c r="K106" s="116"/>
      <c r="L106" s="117">
        <v>1</v>
      </c>
      <c r="M106" s="118">
        <f t="shared" si="3"/>
        <v>4</v>
      </c>
      <c r="N106" s="119" t="s">
        <v>84</v>
      </c>
      <c r="O106" s="95" t="str">
        <f>TEXT($O$8-7,"m/d/yy")</f>
        <v>12/17/10</v>
      </c>
      <c r="P106" s="92" t="s">
        <v>455</v>
      </c>
      <c r="Q106" s="92" t="s">
        <v>146</v>
      </c>
      <c r="R106" s="119" t="s">
        <v>84</v>
      </c>
      <c r="S106" s="95"/>
      <c r="T106" s="96"/>
      <c r="U106" s="95"/>
      <c r="V106" s="120"/>
    </row>
    <row r="107" spans="1:22" s="121" customFormat="1" ht="30" customHeight="1">
      <c r="A107" s="113"/>
      <c r="B107" s="92"/>
      <c r="C107" s="92">
        <v>3</v>
      </c>
      <c r="D107" s="92"/>
      <c r="E107" s="92"/>
      <c r="F107" s="92"/>
      <c r="G107" s="92"/>
      <c r="H107" s="96" t="s">
        <v>96</v>
      </c>
      <c r="I107" s="114" t="s">
        <v>456</v>
      </c>
      <c r="J107" s="115" t="s">
        <v>457</v>
      </c>
      <c r="K107" s="116"/>
      <c r="L107" s="117">
        <v>1</v>
      </c>
      <c r="M107" s="118">
        <f t="shared" si="3"/>
        <v>4</v>
      </c>
      <c r="N107" s="119" t="s">
        <v>84</v>
      </c>
      <c r="O107" s="95" t="str">
        <f>TEXT($O$8-7,"m/d/yy")</f>
        <v>12/17/10</v>
      </c>
      <c r="P107" s="92" t="s">
        <v>458</v>
      </c>
      <c r="Q107" s="92" t="s">
        <v>146</v>
      </c>
      <c r="R107" s="119" t="s">
        <v>84</v>
      </c>
      <c r="S107" s="95"/>
      <c r="T107" s="96"/>
      <c r="U107" s="95"/>
      <c r="V107" s="120"/>
    </row>
    <row r="108" spans="1:22" s="121" customFormat="1" ht="30" customHeight="1">
      <c r="A108" s="113"/>
      <c r="B108" s="92"/>
      <c r="C108" s="92">
        <v>3</v>
      </c>
      <c r="D108" s="92"/>
      <c r="E108" s="92"/>
      <c r="F108" s="92"/>
      <c r="G108" s="92"/>
      <c r="H108" s="96" t="s">
        <v>96</v>
      </c>
      <c r="I108" s="114" t="s">
        <v>459</v>
      </c>
      <c r="J108" s="115" t="s">
        <v>460</v>
      </c>
      <c r="K108" s="116"/>
      <c r="L108" s="117">
        <v>1</v>
      </c>
      <c r="M108" s="118">
        <f t="shared" si="3"/>
        <v>4</v>
      </c>
      <c r="N108" s="119" t="s">
        <v>84</v>
      </c>
      <c r="O108" s="95" t="str">
        <f>TEXT($O$8-7,"m/d/yy")</f>
        <v>12/17/10</v>
      </c>
      <c r="P108" s="92" t="s">
        <v>461</v>
      </c>
      <c r="Q108" s="92" t="s">
        <v>146</v>
      </c>
      <c r="R108" s="119" t="s">
        <v>84</v>
      </c>
      <c r="S108" s="95"/>
      <c r="T108" s="96"/>
      <c r="U108" s="95"/>
      <c r="V108" s="120"/>
    </row>
    <row r="109" spans="1:22" s="121" customFormat="1" ht="30" customHeight="1">
      <c r="A109" s="113"/>
      <c r="B109" s="92"/>
      <c r="C109" s="92"/>
      <c r="D109" s="92">
        <v>4</v>
      </c>
      <c r="E109" s="92"/>
      <c r="F109" s="92"/>
      <c r="G109" s="92"/>
      <c r="H109" s="96" t="s">
        <v>96</v>
      </c>
      <c r="I109" s="114" t="s">
        <v>462</v>
      </c>
      <c r="J109" s="115" t="s">
        <v>463</v>
      </c>
      <c r="K109" s="116"/>
      <c r="L109" s="117">
        <v>1</v>
      </c>
      <c r="M109" s="118">
        <f t="shared" si="3"/>
        <v>4</v>
      </c>
      <c r="N109" s="119" t="s">
        <v>84</v>
      </c>
      <c r="O109" s="95" t="str">
        <f>TEXT($O$9-7,"m/d/yy")</f>
        <v>12/10/10</v>
      </c>
      <c r="P109" s="92" t="s">
        <v>464</v>
      </c>
      <c r="Q109" s="92" t="s">
        <v>146</v>
      </c>
      <c r="R109" s="119" t="s">
        <v>84</v>
      </c>
      <c r="S109" s="95"/>
      <c r="T109" s="96"/>
      <c r="U109" s="95"/>
      <c r="V109" s="120"/>
    </row>
    <row r="110" spans="1:22" s="121" customFormat="1" ht="30" customHeight="1">
      <c r="A110" s="113"/>
      <c r="B110" s="92"/>
      <c r="C110" s="92"/>
      <c r="D110" s="92">
        <v>4</v>
      </c>
      <c r="E110" s="92"/>
      <c r="F110" s="92"/>
      <c r="G110" s="92"/>
      <c r="H110" s="96" t="s">
        <v>96</v>
      </c>
      <c r="I110" s="114" t="s">
        <v>465</v>
      </c>
      <c r="J110" s="115" t="s">
        <v>466</v>
      </c>
      <c r="K110" s="116"/>
      <c r="L110" s="117">
        <v>1</v>
      </c>
      <c r="M110" s="118">
        <f t="shared" si="3"/>
        <v>4</v>
      </c>
      <c r="N110" s="119" t="s">
        <v>84</v>
      </c>
      <c r="O110" s="95" t="str">
        <f>TEXT($O$9-7,"m/d/yy")</f>
        <v>12/10/10</v>
      </c>
      <c r="P110" s="92" t="s">
        <v>467</v>
      </c>
      <c r="Q110" s="92" t="s">
        <v>146</v>
      </c>
      <c r="R110" s="119" t="s">
        <v>84</v>
      </c>
      <c r="S110" s="95"/>
      <c r="T110" s="96"/>
      <c r="U110" s="95"/>
      <c r="V110" s="120"/>
    </row>
    <row r="111" spans="1:22" s="121" customFormat="1" ht="30" customHeight="1">
      <c r="A111" s="113"/>
      <c r="B111" s="92"/>
      <c r="C111" s="92">
        <v>3</v>
      </c>
      <c r="D111" s="92"/>
      <c r="E111" s="92"/>
      <c r="F111" s="92"/>
      <c r="G111" s="92"/>
      <c r="H111" s="96" t="s">
        <v>96</v>
      </c>
      <c r="I111" s="114" t="s">
        <v>84</v>
      </c>
      <c r="J111" s="115" t="s">
        <v>468</v>
      </c>
      <c r="K111" s="116"/>
      <c r="L111" s="117">
        <v>1</v>
      </c>
      <c r="M111" s="118">
        <f t="shared" si="3"/>
        <v>4</v>
      </c>
      <c r="N111" s="119" t="s">
        <v>84</v>
      </c>
      <c r="O111" s="122"/>
      <c r="P111" s="93"/>
      <c r="Q111" s="92" t="s">
        <v>145</v>
      </c>
      <c r="R111" s="119" t="s">
        <v>84</v>
      </c>
      <c r="S111" s="95">
        <f aca="true" t="shared" si="4" ref="S111:S120">$O$110-7</f>
        <v>40515</v>
      </c>
      <c r="T111" s="96"/>
      <c r="U111" s="95"/>
      <c r="V111" s="120"/>
    </row>
    <row r="112" spans="1:22" s="121" customFormat="1" ht="30" customHeight="1">
      <c r="A112" s="113"/>
      <c r="B112" s="92"/>
      <c r="C112" s="92">
        <v>3</v>
      </c>
      <c r="D112" s="92"/>
      <c r="E112" s="92"/>
      <c r="F112" s="92"/>
      <c r="G112" s="92"/>
      <c r="H112" s="96" t="s">
        <v>96</v>
      </c>
      <c r="I112" s="114" t="s">
        <v>84</v>
      </c>
      <c r="J112" s="115" t="s">
        <v>469</v>
      </c>
      <c r="K112" s="116"/>
      <c r="L112" s="117">
        <v>1</v>
      </c>
      <c r="M112" s="118">
        <f t="shared" si="3"/>
        <v>4</v>
      </c>
      <c r="N112" s="119" t="s">
        <v>84</v>
      </c>
      <c r="O112" s="122"/>
      <c r="P112" s="93"/>
      <c r="Q112" s="92" t="s">
        <v>145</v>
      </c>
      <c r="R112" s="119" t="s">
        <v>84</v>
      </c>
      <c r="S112" s="95">
        <f t="shared" si="4"/>
        <v>40515</v>
      </c>
      <c r="T112" s="96"/>
      <c r="U112" s="95"/>
      <c r="V112" s="120"/>
    </row>
    <row r="113" spans="1:22" s="121" customFormat="1" ht="30" customHeight="1">
      <c r="A113" s="113"/>
      <c r="B113" s="92"/>
      <c r="C113" s="92">
        <v>3</v>
      </c>
      <c r="D113" s="92"/>
      <c r="E113" s="92"/>
      <c r="F113" s="92"/>
      <c r="G113" s="92"/>
      <c r="H113" s="96" t="s">
        <v>96</v>
      </c>
      <c r="I113" s="114" t="s">
        <v>84</v>
      </c>
      <c r="J113" s="115" t="s">
        <v>470</v>
      </c>
      <c r="K113" s="116"/>
      <c r="L113" s="117">
        <v>1</v>
      </c>
      <c r="M113" s="118">
        <f t="shared" si="3"/>
        <v>4</v>
      </c>
      <c r="N113" s="119" t="s">
        <v>84</v>
      </c>
      <c r="O113" s="122"/>
      <c r="P113" s="93"/>
      <c r="Q113" s="92" t="s">
        <v>145</v>
      </c>
      <c r="R113" s="119" t="s">
        <v>84</v>
      </c>
      <c r="S113" s="95">
        <f t="shared" si="4"/>
        <v>40515</v>
      </c>
      <c r="T113" s="96"/>
      <c r="U113" s="95"/>
      <c r="V113" s="120"/>
    </row>
    <row r="114" spans="1:22" s="121" customFormat="1" ht="30" customHeight="1">
      <c r="A114" s="113"/>
      <c r="B114" s="92">
        <v>2</v>
      </c>
      <c r="C114" s="92"/>
      <c r="D114" s="92"/>
      <c r="E114" s="92"/>
      <c r="F114" s="92"/>
      <c r="G114" s="92"/>
      <c r="H114" s="96" t="s">
        <v>96</v>
      </c>
      <c r="I114" s="114" t="s">
        <v>471</v>
      </c>
      <c r="J114" s="115" t="s">
        <v>472</v>
      </c>
      <c r="K114" s="116"/>
      <c r="L114" s="117">
        <v>30</v>
      </c>
      <c r="M114" s="118">
        <f t="shared" si="3"/>
        <v>120</v>
      </c>
      <c r="N114" s="119" t="s">
        <v>84</v>
      </c>
      <c r="O114" s="122"/>
      <c r="P114" s="93"/>
      <c r="Q114" s="92" t="s">
        <v>145</v>
      </c>
      <c r="R114" s="119" t="s">
        <v>84</v>
      </c>
      <c r="S114" s="95">
        <f t="shared" si="4"/>
        <v>40515</v>
      </c>
      <c r="T114" s="96"/>
      <c r="U114" s="95"/>
      <c r="V114" s="120"/>
    </row>
    <row r="115" spans="1:22" s="121" customFormat="1" ht="30" customHeight="1">
      <c r="A115" s="113"/>
      <c r="B115" s="92">
        <v>2</v>
      </c>
      <c r="C115" s="92"/>
      <c r="D115" s="92"/>
      <c r="E115" s="92"/>
      <c r="F115" s="92"/>
      <c r="G115" s="92"/>
      <c r="H115" s="96" t="s">
        <v>96</v>
      </c>
      <c r="I115" s="114" t="s">
        <v>473</v>
      </c>
      <c r="J115" s="115" t="s">
        <v>474</v>
      </c>
      <c r="K115" s="116"/>
      <c r="L115" s="117">
        <v>8</v>
      </c>
      <c r="M115" s="118">
        <f t="shared" si="3"/>
        <v>32</v>
      </c>
      <c r="N115" s="119" t="s">
        <v>84</v>
      </c>
      <c r="O115" s="122"/>
      <c r="P115" s="93"/>
      <c r="Q115" s="92" t="s">
        <v>145</v>
      </c>
      <c r="R115" s="119" t="s">
        <v>84</v>
      </c>
      <c r="S115" s="95">
        <f t="shared" si="4"/>
        <v>40515</v>
      </c>
      <c r="T115" s="96"/>
      <c r="U115" s="95"/>
      <c r="V115" s="120"/>
    </row>
    <row r="116" spans="1:22" s="121" customFormat="1" ht="30" customHeight="1">
      <c r="A116" s="113"/>
      <c r="B116" s="92">
        <v>2</v>
      </c>
      <c r="C116" s="92"/>
      <c r="D116" s="92"/>
      <c r="E116" s="92"/>
      <c r="F116" s="92"/>
      <c r="G116" s="92"/>
      <c r="H116" s="96" t="s">
        <v>96</v>
      </c>
      <c r="I116" s="114" t="s">
        <v>475</v>
      </c>
      <c r="J116" s="115" t="s">
        <v>476</v>
      </c>
      <c r="K116" s="116"/>
      <c r="L116" s="117">
        <v>30</v>
      </c>
      <c r="M116" s="118">
        <f t="shared" si="3"/>
        <v>120</v>
      </c>
      <c r="N116" s="119" t="s">
        <v>84</v>
      </c>
      <c r="O116" s="122"/>
      <c r="P116" s="93"/>
      <c r="Q116" s="92" t="s">
        <v>145</v>
      </c>
      <c r="R116" s="119" t="s">
        <v>84</v>
      </c>
      <c r="S116" s="95">
        <f t="shared" si="4"/>
        <v>40515</v>
      </c>
      <c r="T116" s="96"/>
      <c r="U116" s="95"/>
      <c r="V116" s="120"/>
    </row>
    <row r="117" spans="1:22" s="121" customFormat="1" ht="30" customHeight="1">
      <c r="A117" s="113"/>
      <c r="B117" s="92">
        <v>2</v>
      </c>
      <c r="C117" s="92"/>
      <c r="D117" s="92"/>
      <c r="E117" s="92"/>
      <c r="F117" s="92"/>
      <c r="G117" s="92"/>
      <c r="H117" s="96" t="s">
        <v>96</v>
      </c>
      <c r="I117" s="114" t="s">
        <v>430</v>
      </c>
      <c r="J117" s="115" t="s">
        <v>477</v>
      </c>
      <c r="K117" s="116"/>
      <c r="L117" s="117">
        <v>8</v>
      </c>
      <c r="M117" s="118">
        <f t="shared" si="3"/>
        <v>32</v>
      </c>
      <c r="N117" s="119" t="s">
        <v>84</v>
      </c>
      <c r="O117" s="122"/>
      <c r="P117" s="93"/>
      <c r="Q117" s="92" t="s">
        <v>145</v>
      </c>
      <c r="R117" s="119" t="s">
        <v>84</v>
      </c>
      <c r="S117" s="95">
        <f t="shared" si="4"/>
        <v>40515</v>
      </c>
      <c r="T117" s="96"/>
      <c r="U117" s="95"/>
      <c r="V117" s="120"/>
    </row>
    <row r="118" spans="1:22" s="124" customFormat="1" ht="30" customHeight="1">
      <c r="A118" s="92"/>
      <c r="B118" s="92">
        <v>2</v>
      </c>
      <c r="C118" s="92"/>
      <c r="D118" s="92"/>
      <c r="E118" s="92"/>
      <c r="F118" s="92"/>
      <c r="G118" s="92"/>
      <c r="H118" s="92" t="s">
        <v>96</v>
      </c>
      <c r="I118" s="114" t="s">
        <v>478</v>
      </c>
      <c r="J118" s="115" t="s">
        <v>479</v>
      </c>
      <c r="K118" s="92"/>
      <c r="L118" s="92">
        <v>30</v>
      </c>
      <c r="M118" s="92">
        <f t="shared" si="3"/>
        <v>120</v>
      </c>
      <c r="N118" s="119" t="s">
        <v>84</v>
      </c>
      <c r="O118" s="92"/>
      <c r="P118" s="92"/>
      <c r="Q118" s="92" t="s">
        <v>145</v>
      </c>
      <c r="R118" s="119" t="s">
        <v>84</v>
      </c>
      <c r="S118" s="95">
        <f t="shared" si="4"/>
        <v>40515</v>
      </c>
      <c r="T118" s="92"/>
      <c r="U118" s="92"/>
      <c r="V118" s="123"/>
    </row>
    <row r="119" spans="1:22" s="124" customFormat="1" ht="30" customHeight="1">
      <c r="A119" s="92"/>
      <c r="B119" s="92">
        <v>2</v>
      </c>
      <c r="C119" s="92"/>
      <c r="D119" s="92"/>
      <c r="E119" s="92"/>
      <c r="F119" s="92"/>
      <c r="G119" s="92"/>
      <c r="H119" s="92"/>
      <c r="I119" s="114" t="s">
        <v>428</v>
      </c>
      <c r="J119" s="115" t="s">
        <v>480</v>
      </c>
      <c r="K119" s="92"/>
      <c r="L119" s="92">
        <v>8</v>
      </c>
      <c r="M119" s="92">
        <f t="shared" si="3"/>
        <v>32</v>
      </c>
      <c r="N119" s="119" t="s">
        <v>84</v>
      </c>
      <c r="O119" s="92"/>
      <c r="P119" s="92"/>
      <c r="Q119" s="92" t="s">
        <v>145</v>
      </c>
      <c r="R119" s="119" t="s">
        <v>84</v>
      </c>
      <c r="S119" s="95">
        <f t="shared" si="4"/>
        <v>40515</v>
      </c>
      <c r="T119" s="92"/>
      <c r="U119" s="92"/>
      <c r="V119" s="123"/>
    </row>
    <row r="120" spans="1:22" s="124" customFormat="1" ht="30" customHeight="1">
      <c r="A120" s="92"/>
      <c r="B120" s="92">
        <v>2</v>
      </c>
      <c r="C120" s="92"/>
      <c r="D120" s="92"/>
      <c r="E120" s="92"/>
      <c r="F120" s="92"/>
      <c r="G120" s="92"/>
      <c r="H120" s="92"/>
      <c r="I120" s="114" t="s">
        <v>481</v>
      </c>
      <c r="J120" s="115" t="s">
        <v>482</v>
      </c>
      <c r="K120" s="92"/>
      <c r="L120" s="92">
        <v>1</v>
      </c>
      <c r="M120" s="92">
        <f t="shared" si="3"/>
        <v>4</v>
      </c>
      <c r="N120" s="119" t="s">
        <v>84</v>
      </c>
      <c r="O120" s="92"/>
      <c r="P120" s="92"/>
      <c r="Q120" s="92" t="s">
        <v>145</v>
      </c>
      <c r="R120" s="119" t="s">
        <v>84</v>
      </c>
      <c r="S120" s="95">
        <f t="shared" si="4"/>
        <v>40515</v>
      </c>
      <c r="T120" s="92"/>
      <c r="U120" s="92"/>
      <c r="V120" s="123"/>
    </row>
    <row r="121" spans="1:22" s="124" customFormat="1" ht="30" customHeight="1">
      <c r="A121" s="92">
        <v>1</v>
      </c>
      <c r="B121" s="92"/>
      <c r="C121" s="92"/>
      <c r="D121" s="92"/>
      <c r="E121" s="92"/>
      <c r="F121" s="92"/>
      <c r="G121" s="92"/>
      <c r="H121" s="92"/>
      <c r="I121" s="114" t="s">
        <v>515</v>
      </c>
      <c r="J121" s="115" t="s">
        <v>483</v>
      </c>
      <c r="K121" s="92"/>
      <c r="L121" s="92">
        <v>1</v>
      </c>
      <c r="M121" s="92">
        <f t="shared" si="3"/>
        <v>4</v>
      </c>
      <c r="N121" s="125" t="s">
        <v>484</v>
      </c>
      <c r="O121" s="95" t="str">
        <f>TEXT($O$6-7,"m/d/yy")</f>
        <v>12/31/10</v>
      </c>
      <c r="P121" s="92" t="s">
        <v>485</v>
      </c>
      <c r="Q121" s="92" t="s">
        <v>146</v>
      </c>
      <c r="R121" s="119" t="s">
        <v>84</v>
      </c>
      <c r="S121" s="92"/>
      <c r="T121" s="92"/>
      <c r="U121" s="92"/>
      <c r="V121" s="123"/>
    </row>
    <row r="122" spans="1:22" s="124" customFormat="1" ht="30" customHeight="1">
      <c r="A122" s="92"/>
      <c r="B122" s="92">
        <v>2</v>
      </c>
      <c r="C122" s="92"/>
      <c r="D122" s="92"/>
      <c r="E122" s="92"/>
      <c r="F122" s="92"/>
      <c r="G122" s="92"/>
      <c r="H122" s="92"/>
      <c r="I122" s="114" t="s">
        <v>516</v>
      </c>
      <c r="J122" s="115" t="s">
        <v>486</v>
      </c>
      <c r="K122" s="92"/>
      <c r="L122" s="92">
        <v>1</v>
      </c>
      <c r="M122" s="92">
        <f t="shared" si="3"/>
        <v>4</v>
      </c>
      <c r="N122" s="125" t="s">
        <v>484</v>
      </c>
      <c r="O122" s="95" t="str">
        <f>TEXT($O$7-7,"m/d/yy")</f>
        <v>12/24/10</v>
      </c>
      <c r="P122" s="92" t="s">
        <v>487</v>
      </c>
      <c r="Q122" s="92" t="s">
        <v>146</v>
      </c>
      <c r="R122" s="119" t="s">
        <v>84</v>
      </c>
      <c r="S122" s="92"/>
      <c r="T122" s="92"/>
      <c r="U122" s="92"/>
      <c r="V122" s="123"/>
    </row>
    <row r="123" spans="1:22" s="124" customFormat="1" ht="30" customHeight="1">
      <c r="A123" s="92"/>
      <c r="B123" s="92"/>
      <c r="C123" s="92">
        <v>3</v>
      </c>
      <c r="D123" s="92"/>
      <c r="E123" s="92"/>
      <c r="F123" s="92"/>
      <c r="G123" s="92"/>
      <c r="H123" s="92"/>
      <c r="I123" s="114" t="s">
        <v>514</v>
      </c>
      <c r="J123" s="115" t="s">
        <v>488</v>
      </c>
      <c r="K123" s="92"/>
      <c r="L123" s="92">
        <v>1</v>
      </c>
      <c r="M123" s="92">
        <v>1</v>
      </c>
      <c r="N123" s="125" t="s">
        <v>484</v>
      </c>
      <c r="O123" s="95" t="str">
        <f>TEXT($O$8-7,"m/d/yy")</f>
        <v>12/17/10</v>
      </c>
      <c r="P123" s="92" t="s">
        <v>489</v>
      </c>
      <c r="Q123" s="92" t="s">
        <v>146</v>
      </c>
      <c r="R123" s="119"/>
      <c r="S123" s="92"/>
      <c r="T123" s="92"/>
      <c r="U123" s="92"/>
      <c r="V123" s="123"/>
    </row>
    <row r="124" spans="1:22" s="124" customFormat="1" ht="30" customHeight="1">
      <c r="A124" s="92"/>
      <c r="B124" s="92"/>
      <c r="C124" s="92"/>
      <c r="D124" s="92">
        <v>4</v>
      </c>
      <c r="E124" s="92"/>
      <c r="F124" s="92"/>
      <c r="G124" s="92"/>
      <c r="H124" s="92"/>
      <c r="I124" s="114"/>
      <c r="J124" s="115" t="s">
        <v>490</v>
      </c>
      <c r="K124" s="92" t="s">
        <v>491</v>
      </c>
      <c r="L124" s="92">
        <v>1</v>
      </c>
      <c r="M124" s="92">
        <v>1</v>
      </c>
      <c r="N124" s="125" t="s">
        <v>484</v>
      </c>
      <c r="O124" s="95"/>
      <c r="P124" s="92"/>
      <c r="Q124" s="92" t="s">
        <v>145</v>
      </c>
      <c r="R124" s="119"/>
      <c r="S124" s="95">
        <f>$O$110-7</f>
        <v>40515</v>
      </c>
      <c r="T124" s="92"/>
      <c r="U124" s="92"/>
      <c r="V124" s="123"/>
    </row>
    <row r="125" spans="1:22" s="124" customFormat="1" ht="30" customHeight="1">
      <c r="A125" s="92"/>
      <c r="B125" s="92"/>
      <c r="C125" s="92">
        <v>3</v>
      </c>
      <c r="D125" s="92"/>
      <c r="E125" s="92"/>
      <c r="F125" s="92"/>
      <c r="G125" s="92"/>
      <c r="H125" s="92"/>
      <c r="I125" s="114" t="s">
        <v>517</v>
      </c>
      <c r="J125" s="115" t="s">
        <v>492</v>
      </c>
      <c r="K125" s="92"/>
      <c r="L125" s="92">
        <v>4</v>
      </c>
      <c r="M125" s="92">
        <v>4</v>
      </c>
      <c r="N125" s="125" t="s">
        <v>484</v>
      </c>
      <c r="O125" s="95" t="str">
        <f>TEXT($O$8-7,"m/d/yy")</f>
        <v>12/17/10</v>
      </c>
      <c r="P125" s="92" t="s">
        <v>493</v>
      </c>
      <c r="Q125" s="92" t="s">
        <v>146</v>
      </c>
      <c r="R125" s="119"/>
      <c r="S125" s="92"/>
      <c r="T125" s="92"/>
      <c r="U125" s="92"/>
      <c r="V125" s="123"/>
    </row>
    <row r="126" spans="1:22" s="124" customFormat="1" ht="30" customHeight="1">
      <c r="A126" s="92"/>
      <c r="B126" s="92"/>
      <c r="C126" s="92"/>
      <c r="D126" s="92">
        <v>4</v>
      </c>
      <c r="E126" s="92"/>
      <c r="F126" s="92"/>
      <c r="G126" s="92"/>
      <c r="H126" s="92"/>
      <c r="I126" s="114"/>
      <c r="J126" s="115" t="s">
        <v>494</v>
      </c>
      <c r="K126" s="114" t="s">
        <v>494</v>
      </c>
      <c r="L126" s="92">
        <v>4</v>
      </c>
      <c r="M126" s="92">
        <v>4</v>
      </c>
      <c r="N126" s="125" t="s">
        <v>484</v>
      </c>
      <c r="O126" s="95"/>
      <c r="P126" s="92"/>
      <c r="Q126" s="92" t="s">
        <v>145</v>
      </c>
      <c r="R126" s="119"/>
      <c r="S126" s="95">
        <f aca="true" t="shared" si="5" ref="S126:S135">$O$110-7</f>
        <v>40515</v>
      </c>
      <c r="T126" s="92"/>
      <c r="U126" s="92"/>
      <c r="V126" s="123"/>
    </row>
    <row r="127" spans="1:22" s="124" customFormat="1" ht="30" customHeight="1">
      <c r="A127" s="92"/>
      <c r="B127" s="92">
        <v>2</v>
      </c>
      <c r="C127" s="92"/>
      <c r="D127" s="92"/>
      <c r="E127" s="92"/>
      <c r="F127" s="92"/>
      <c r="G127" s="92"/>
      <c r="H127" s="92"/>
      <c r="I127" s="114" t="s">
        <v>495</v>
      </c>
      <c r="J127" s="115" t="s">
        <v>496</v>
      </c>
      <c r="K127" s="92"/>
      <c r="L127" s="92">
        <v>2</v>
      </c>
      <c r="M127" s="92">
        <f t="shared" si="3"/>
        <v>8</v>
      </c>
      <c r="N127" s="125" t="s">
        <v>484</v>
      </c>
      <c r="O127" s="92"/>
      <c r="P127" s="92"/>
      <c r="Q127" s="92" t="s">
        <v>145</v>
      </c>
      <c r="R127" s="119" t="s">
        <v>84</v>
      </c>
      <c r="S127" s="95">
        <f t="shared" si="5"/>
        <v>40515</v>
      </c>
      <c r="T127" s="92"/>
      <c r="U127" s="92"/>
      <c r="V127" s="123"/>
    </row>
    <row r="128" spans="1:22" s="124" customFormat="1" ht="30" customHeight="1">
      <c r="A128" s="92"/>
      <c r="B128" s="92">
        <v>2</v>
      </c>
      <c r="C128" s="92"/>
      <c r="D128" s="92"/>
      <c r="E128" s="92"/>
      <c r="F128" s="92"/>
      <c r="G128" s="92"/>
      <c r="H128" s="92"/>
      <c r="I128" s="114" t="s">
        <v>497</v>
      </c>
      <c r="J128" s="115" t="s">
        <v>498</v>
      </c>
      <c r="K128" s="92"/>
      <c r="L128" s="92">
        <v>2</v>
      </c>
      <c r="M128" s="92">
        <f t="shared" si="3"/>
        <v>8</v>
      </c>
      <c r="N128" s="125" t="s">
        <v>484</v>
      </c>
      <c r="O128" s="92"/>
      <c r="P128" s="92"/>
      <c r="Q128" s="92" t="s">
        <v>145</v>
      </c>
      <c r="R128" s="119" t="s">
        <v>84</v>
      </c>
      <c r="S128" s="95">
        <f t="shared" si="5"/>
        <v>40515</v>
      </c>
      <c r="T128" s="92"/>
      <c r="U128" s="92"/>
      <c r="V128" s="123"/>
    </row>
    <row r="129" spans="1:22" s="124" customFormat="1" ht="30" customHeight="1">
      <c r="A129" s="92"/>
      <c r="B129" s="92">
        <v>2</v>
      </c>
      <c r="C129" s="92"/>
      <c r="D129" s="92"/>
      <c r="E129" s="92"/>
      <c r="F129" s="92"/>
      <c r="G129" s="92"/>
      <c r="H129" s="92"/>
      <c r="I129" s="114" t="s">
        <v>499</v>
      </c>
      <c r="J129" s="115" t="s">
        <v>500</v>
      </c>
      <c r="K129" s="92"/>
      <c r="L129" s="92">
        <v>2</v>
      </c>
      <c r="M129" s="92">
        <f t="shared" si="3"/>
        <v>8</v>
      </c>
      <c r="N129" s="125" t="s">
        <v>484</v>
      </c>
      <c r="O129" s="92"/>
      <c r="P129" s="92"/>
      <c r="Q129" s="92" t="s">
        <v>145</v>
      </c>
      <c r="R129" s="119" t="s">
        <v>84</v>
      </c>
      <c r="S129" s="95">
        <f t="shared" si="5"/>
        <v>40515</v>
      </c>
      <c r="T129" s="92"/>
      <c r="U129" s="92"/>
      <c r="V129" s="123"/>
    </row>
    <row r="130" spans="1:22" s="124" customFormat="1" ht="30" customHeight="1">
      <c r="A130" s="92"/>
      <c r="B130" s="92">
        <v>2</v>
      </c>
      <c r="C130" s="92"/>
      <c r="D130" s="92"/>
      <c r="E130" s="92"/>
      <c r="F130" s="92"/>
      <c r="G130" s="92"/>
      <c r="H130" s="92"/>
      <c r="I130" s="114" t="s">
        <v>501</v>
      </c>
      <c r="J130" s="115" t="s">
        <v>502</v>
      </c>
      <c r="K130" s="92"/>
      <c r="L130" s="92">
        <v>2</v>
      </c>
      <c r="M130" s="92">
        <f t="shared" si="3"/>
        <v>8</v>
      </c>
      <c r="N130" s="125" t="s">
        <v>484</v>
      </c>
      <c r="O130" s="92"/>
      <c r="P130" s="92"/>
      <c r="Q130" s="92" t="s">
        <v>145</v>
      </c>
      <c r="R130" s="119" t="s">
        <v>84</v>
      </c>
      <c r="S130" s="95">
        <f t="shared" si="5"/>
        <v>40515</v>
      </c>
      <c r="T130" s="92"/>
      <c r="U130" s="92"/>
      <c r="V130" s="123"/>
    </row>
    <row r="131" spans="1:22" s="121" customFormat="1" ht="30" customHeight="1">
      <c r="A131" s="113"/>
      <c r="B131" s="92">
        <v>2</v>
      </c>
      <c r="C131" s="92"/>
      <c r="D131" s="92"/>
      <c r="E131" s="92"/>
      <c r="F131" s="92"/>
      <c r="G131" s="92"/>
      <c r="H131" s="96" t="s">
        <v>96</v>
      </c>
      <c r="I131" s="114" t="s">
        <v>471</v>
      </c>
      <c r="J131" s="115" t="s">
        <v>472</v>
      </c>
      <c r="K131" s="116"/>
      <c r="L131" s="117">
        <v>60</v>
      </c>
      <c r="M131" s="118">
        <f t="shared" si="3"/>
        <v>240</v>
      </c>
      <c r="N131" s="126" t="s">
        <v>472</v>
      </c>
      <c r="O131" s="122"/>
      <c r="P131" s="94"/>
      <c r="Q131" s="92" t="s">
        <v>145</v>
      </c>
      <c r="R131" s="127" t="s">
        <v>472</v>
      </c>
      <c r="S131" s="95">
        <f t="shared" si="5"/>
        <v>40515</v>
      </c>
      <c r="T131" s="96"/>
      <c r="U131" s="95"/>
      <c r="V131" s="120"/>
    </row>
    <row r="132" spans="1:22" s="121" customFormat="1" ht="30" customHeight="1">
      <c r="A132" s="113"/>
      <c r="B132" s="92">
        <v>2</v>
      </c>
      <c r="C132" s="92"/>
      <c r="D132" s="92"/>
      <c r="E132" s="92"/>
      <c r="F132" s="92"/>
      <c r="G132" s="92"/>
      <c r="H132" s="96" t="s">
        <v>96</v>
      </c>
      <c r="I132" s="114" t="s">
        <v>475</v>
      </c>
      <c r="J132" s="115" t="s">
        <v>476</v>
      </c>
      <c r="K132" s="116"/>
      <c r="L132" s="117">
        <v>60</v>
      </c>
      <c r="M132" s="118">
        <f t="shared" si="3"/>
        <v>240</v>
      </c>
      <c r="N132" s="126" t="s">
        <v>476</v>
      </c>
      <c r="O132" s="122"/>
      <c r="P132" s="94"/>
      <c r="Q132" s="92" t="s">
        <v>145</v>
      </c>
      <c r="R132" s="127" t="s">
        <v>476</v>
      </c>
      <c r="S132" s="95">
        <f t="shared" si="5"/>
        <v>40515</v>
      </c>
      <c r="T132" s="96"/>
      <c r="U132" s="95"/>
      <c r="V132" s="120"/>
    </row>
    <row r="133" spans="1:22" s="124" customFormat="1" ht="30" customHeight="1">
      <c r="A133" s="92"/>
      <c r="B133" s="92">
        <v>2</v>
      </c>
      <c r="C133" s="92"/>
      <c r="D133" s="92"/>
      <c r="E133" s="92"/>
      <c r="F133" s="92"/>
      <c r="G133" s="92"/>
      <c r="H133" s="92" t="s">
        <v>96</v>
      </c>
      <c r="I133" s="114" t="s">
        <v>478</v>
      </c>
      <c r="J133" s="115" t="s">
        <v>479</v>
      </c>
      <c r="K133" s="92"/>
      <c r="L133" s="92">
        <v>60</v>
      </c>
      <c r="M133" s="92">
        <f t="shared" si="3"/>
        <v>240</v>
      </c>
      <c r="N133" s="114" t="s">
        <v>479</v>
      </c>
      <c r="O133" s="92"/>
      <c r="P133" s="92"/>
      <c r="Q133" s="92" t="s">
        <v>145</v>
      </c>
      <c r="R133" s="128" t="s">
        <v>479</v>
      </c>
      <c r="S133" s="95">
        <f t="shared" si="5"/>
        <v>40515</v>
      </c>
      <c r="T133" s="92"/>
      <c r="U133" s="92"/>
      <c r="V133" s="123"/>
    </row>
    <row r="134" spans="1:22" s="124" customFormat="1" ht="30" customHeight="1">
      <c r="A134" s="92">
        <v>1</v>
      </c>
      <c r="B134" s="92"/>
      <c r="C134" s="92"/>
      <c r="D134" s="92"/>
      <c r="E134" s="92"/>
      <c r="F134" s="92"/>
      <c r="G134" s="92"/>
      <c r="H134" s="92"/>
      <c r="I134" s="114" t="s">
        <v>503</v>
      </c>
      <c r="J134" s="115" t="s">
        <v>504</v>
      </c>
      <c r="K134" s="92"/>
      <c r="L134" s="92">
        <v>1</v>
      </c>
      <c r="M134" s="92">
        <f t="shared" si="3"/>
        <v>4</v>
      </c>
      <c r="N134" s="119" t="s">
        <v>505</v>
      </c>
      <c r="O134" s="92"/>
      <c r="P134" s="92"/>
      <c r="Q134" s="92" t="s">
        <v>145</v>
      </c>
      <c r="R134" s="119" t="s">
        <v>84</v>
      </c>
      <c r="S134" s="95">
        <f t="shared" si="5"/>
        <v>40515</v>
      </c>
      <c r="T134" s="92"/>
      <c r="U134" s="92"/>
      <c r="V134" s="123"/>
    </row>
    <row r="135" spans="1:22" s="124" customFormat="1" ht="30" customHeight="1">
      <c r="A135" s="92">
        <v>1</v>
      </c>
      <c r="B135" s="92"/>
      <c r="C135" s="92"/>
      <c r="D135" s="92"/>
      <c r="E135" s="92"/>
      <c r="F135" s="92"/>
      <c r="G135" s="92"/>
      <c r="H135" s="92"/>
      <c r="I135" s="114" t="s">
        <v>519</v>
      </c>
      <c r="J135" s="115" t="s">
        <v>518</v>
      </c>
      <c r="K135" s="92"/>
      <c r="L135" s="92">
        <v>1</v>
      </c>
      <c r="M135" s="92">
        <f t="shared" si="3"/>
        <v>4</v>
      </c>
      <c r="N135" s="119" t="s">
        <v>505</v>
      </c>
      <c r="O135" s="92"/>
      <c r="P135" s="92"/>
      <c r="Q135" s="92" t="s">
        <v>145</v>
      </c>
      <c r="R135" s="119" t="s">
        <v>84</v>
      </c>
      <c r="S135" s="95">
        <f t="shared" si="5"/>
        <v>40515</v>
      </c>
      <c r="T135" s="92"/>
      <c r="U135" s="92"/>
      <c r="V135" s="123"/>
    </row>
  </sheetData>
  <sheetProtection/>
  <printOptions/>
  <pageMargins left="0.25" right="0.2" top="0.5" bottom="0.75" header="0.3" footer="0.3"/>
  <pageSetup fitToHeight="30" fitToWidth="1" horizontalDpi="600" verticalDpi="600" orientation="landscape" paperSize="3" scale="43" r:id="rId1"/>
  <headerFooter>
    <oddHeader>&amp;RPage &amp;P of &amp;N</oddHeader>
  </headerFooter>
</worksheet>
</file>

<file path=xl/worksheets/sheet10.xml><?xml version="1.0" encoding="utf-8"?>
<worksheet xmlns="http://schemas.openxmlformats.org/spreadsheetml/2006/main" xmlns:r="http://schemas.openxmlformats.org/officeDocument/2006/relationships">
  <sheetPr>
    <pageSetUpPr fitToPage="1"/>
  </sheetPr>
  <dimension ref="B2:W59"/>
  <sheetViews>
    <sheetView zoomScale="120" zoomScaleNormal="12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114207-00WS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BRACKET, MC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114207-00WS</v>
      </c>
      <c r="H19" s="13" t="str">
        <f>D11</f>
        <v>WELDMENT, BRACKET, MC TUBE </v>
      </c>
      <c r="Q19" s="13" t="s">
        <v>536</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114208-00S</v>
      </c>
      <c r="H26" s="50" t="str">
        <f>INDEX(BOM!J:J,MATCH($P$3,BOM!$P:$P,0)+1,1)</f>
        <v>PLATE, TOP, BRACKET, MC STAND</v>
      </c>
      <c r="Q26" s="50">
        <f>INDEX(BOM!M:M,MATCH($P$3,BOM!$P:$P,0)+1,1)</f>
        <v>8</v>
      </c>
    </row>
    <row r="27" spans="2:17" ht="14.25">
      <c r="B27" s="31"/>
      <c r="C27" s="50" t="str">
        <f>INDEX(BOM!I:I,MATCH($P$3,BOM!$P:$P,0)+3,1)</f>
        <v>114209-00S</v>
      </c>
      <c r="H27" s="50" t="str">
        <f>INDEX(BOM!J:J,MATCH($P$3,BOM!$P:$P,0)+3,1)</f>
        <v>PLATE, SIDE, BRACKET, MC STAND</v>
      </c>
      <c r="Q27" s="50">
        <f>INDEX(BOM!M:M,MATCH($P$3,BOM!$P:$P,0)+3,1)</f>
        <v>8</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209</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210</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523</v>
      </c>
      <c r="E34" s="20"/>
      <c r="F34" s="20"/>
      <c r="G34" s="20"/>
      <c r="H34" s="20"/>
      <c r="I34" s="20"/>
      <c r="J34" s="20"/>
      <c r="K34" s="20"/>
      <c r="L34" s="20"/>
      <c r="M34" s="20"/>
      <c r="N34" s="20">
        <v>0.25</v>
      </c>
      <c r="O34" s="20"/>
      <c r="P34" s="20">
        <v>1</v>
      </c>
      <c r="R34" s="19"/>
      <c r="S34" s="20"/>
      <c r="T34" s="23"/>
      <c r="U34" s="20"/>
      <c r="V34" s="20"/>
      <c r="W34" s="23"/>
    </row>
    <row r="35" spans="2:23" ht="14.25">
      <c r="B35" s="45"/>
      <c r="C35" s="46"/>
      <c r="D35" s="19" t="s">
        <v>524</v>
      </c>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238</v>
      </c>
      <c r="E37" s="43"/>
      <c r="F37" s="43"/>
      <c r="G37" s="43"/>
      <c r="H37" s="43"/>
      <c r="I37" s="43"/>
      <c r="J37" s="43"/>
      <c r="K37" s="43"/>
      <c r="L37" s="43"/>
      <c r="M37" s="43"/>
      <c r="N37" s="43">
        <v>0.25</v>
      </c>
      <c r="O37" s="43"/>
      <c r="P37" s="43">
        <v>2</v>
      </c>
      <c r="Q37" s="43"/>
      <c r="R37" s="42"/>
      <c r="S37" s="43"/>
      <c r="T37" s="44"/>
      <c r="U37" s="43"/>
      <c r="V37" s="43"/>
      <c r="W37" s="44"/>
    </row>
    <row r="38" spans="2:23" ht="14.25">
      <c r="B38" s="40"/>
      <c r="C38" s="40"/>
      <c r="D38" s="43" t="s">
        <v>241</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239</v>
      </c>
      <c r="E40" s="20"/>
      <c r="F40" s="20"/>
      <c r="G40" s="20"/>
      <c r="H40" s="20"/>
      <c r="I40" s="20"/>
      <c r="J40" s="20"/>
      <c r="K40" s="20"/>
      <c r="L40" s="20"/>
      <c r="M40" s="20"/>
      <c r="N40" s="20">
        <v>0</v>
      </c>
      <c r="O40" s="20"/>
      <c r="P40" s="20">
        <v>1</v>
      </c>
      <c r="Q40" s="23"/>
      <c r="R40" s="20"/>
      <c r="S40" s="20"/>
      <c r="T40" s="23"/>
      <c r="U40" s="20"/>
      <c r="V40" s="20"/>
      <c r="W40" s="23"/>
    </row>
    <row r="41" spans="2:23" ht="14.25">
      <c r="B41" s="45"/>
      <c r="C41" s="98"/>
      <c r="D41" s="20"/>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240</v>
      </c>
      <c r="E43" s="43"/>
      <c r="F43" s="43"/>
      <c r="G43" s="43"/>
      <c r="H43" s="43"/>
      <c r="I43" s="43"/>
      <c r="J43" s="43"/>
      <c r="K43" s="43"/>
      <c r="L43" s="43"/>
      <c r="M43" s="43"/>
      <c r="N43" s="43">
        <v>0.25</v>
      </c>
      <c r="O43" s="43"/>
      <c r="P43" s="43">
        <v>4</v>
      </c>
      <c r="Q43" s="44"/>
      <c r="R43" s="42"/>
      <c r="S43" s="43"/>
      <c r="T43" s="44"/>
      <c r="U43" s="43"/>
      <c r="V43" s="43"/>
      <c r="W43" s="44"/>
    </row>
    <row r="44" spans="2:23" ht="14.25">
      <c r="B44" s="40"/>
      <c r="C44" s="41"/>
      <c r="D44" s="43" t="s">
        <v>241</v>
      </c>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242</v>
      </c>
      <c r="E46" s="20"/>
      <c r="F46" s="20"/>
      <c r="G46" s="20"/>
      <c r="H46" s="20"/>
      <c r="I46" s="20"/>
      <c r="J46" s="20"/>
      <c r="K46" s="20"/>
      <c r="L46" s="20"/>
      <c r="M46" s="20"/>
      <c r="N46" s="20">
        <v>0</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c r="C56" s="41"/>
      <c r="D56" s="42"/>
      <c r="E56" s="43"/>
      <c r="F56" s="43"/>
      <c r="G56" s="43"/>
      <c r="H56" s="43"/>
      <c r="I56" s="43"/>
      <c r="J56" s="43"/>
      <c r="K56" s="43"/>
      <c r="L56" s="43"/>
      <c r="M56" s="43"/>
      <c r="N56" s="43"/>
      <c r="O56" s="43"/>
      <c r="P56" s="43"/>
      <c r="Q56" s="44"/>
      <c r="R56" s="42"/>
      <c r="S56" s="43"/>
      <c r="T56" s="44"/>
      <c r="U56" s="43"/>
      <c r="V56" s="43"/>
      <c r="W56" s="44"/>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4.25">
      <c r="B58" s="45"/>
      <c r="C58" s="46"/>
      <c r="D58" s="19"/>
      <c r="E58" s="20"/>
      <c r="F58" s="20"/>
      <c r="G58" s="20"/>
      <c r="H58" s="20"/>
      <c r="I58" s="20"/>
      <c r="J58" s="20"/>
      <c r="K58" s="20"/>
      <c r="L58" s="20"/>
      <c r="M58" s="20"/>
      <c r="N58" s="20"/>
      <c r="O58" s="20"/>
      <c r="P58" s="20"/>
      <c r="Q58" s="23"/>
      <c r="R58" s="19"/>
      <c r="S58" s="20"/>
      <c r="T58" s="23"/>
      <c r="U58" s="20"/>
      <c r="V58" s="20"/>
      <c r="W58" s="23"/>
    </row>
    <row r="59" spans="2:23" ht="15" thickBot="1">
      <c r="B59" s="47"/>
      <c r="C59" s="48"/>
      <c r="D59" s="28"/>
      <c r="E59" s="29"/>
      <c r="F59" s="29"/>
      <c r="G59" s="29"/>
      <c r="H59" s="29"/>
      <c r="I59" s="29"/>
      <c r="J59" s="29"/>
      <c r="K59" s="29"/>
      <c r="L59" s="29"/>
      <c r="M59" s="49" t="s">
        <v>24</v>
      </c>
      <c r="N59" s="29">
        <f>SUM(N30:N57)</f>
        <v>0.75</v>
      </c>
      <c r="O59" s="29"/>
      <c r="P59" s="29">
        <f>SUM(P30:P57)</f>
        <v>9</v>
      </c>
      <c r="Q59" s="30"/>
      <c r="R59" s="28"/>
      <c r="S59" s="29"/>
      <c r="T59" s="30"/>
      <c r="U59" s="29"/>
      <c r="V59" s="29"/>
      <c r="W59"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W57"/>
  <sheetViews>
    <sheetView zoomScale="120" zoomScaleNormal="12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114208-00S</v>
      </c>
      <c r="E9" s="20"/>
      <c r="F9" s="20"/>
      <c r="G9" s="20"/>
      <c r="H9" s="20"/>
      <c r="I9" s="20"/>
      <c r="J9" s="20"/>
      <c r="K9" s="20"/>
      <c r="L9" s="20"/>
      <c r="M9" s="20"/>
      <c r="N9" s="24" t="s">
        <v>2</v>
      </c>
      <c r="O9" s="20"/>
      <c r="P9" s="97"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TOP,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114208-00S</v>
      </c>
      <c r="H19" s="13" t="str">
        <f>D11</f>
        <v>PLATE, TOP, BRACKET, MC STAND</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PLT, .50 THK, 5.25 WD, 5.25 LG</v>
      </c>
      <c r="Q25" s="50">
        <f>INDEX(BOM!M:M,MATCH($P$3,BOM!$P:$P,0)+1,1)</f>
        <v>8</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233</v>
      </c>
      <c r="E32" s="20"/>
      <c r="F32" s="20"/>
      <c r="G32" s="20"/>
      <c r="H32" s="20"/>
      <c r="I32" s="20"/>
      <c r="J32" s="20"/>
      <c r="K32" s="20"/>
      <c r="L32" s="20"/>
      <c r="M32" s="20"/>
      <c r="N32" s="20">
        <v>0.5</v>
      </c>
      <c r="O32" s="20"/>
      <c r="P32" s="20">
        <v>1</v>
      </c>
      <c r="Q32" s="23"/>
      <c r="R32" s="19"/>
      <c r="S32" s="20"/>
      <c r="T32" s="23"/>
      <c r="U32" s="20"/>
      <c r="V32" s="20"/>
      <c r="W32" s="23"/>
    </row>
    <row r="33" spans="2:23" ht="14.25">
      <c r="B33" s="45"/>
      <c r="C33" s="46"/>
      <c r="D33" s="19" t="s">
        <v>232</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235</v>
      </c>
      <c r="E35" s="43"/>
      <c r="F35" s="43"/>
      <c r="G35" s="43"/>
      <c r="H35" s="43"/>
      <c r="I35" s="43"/>
      <c r="J35" s="43"/>
      <c r="K35" s="43"/>
      <c r="L35" s="43"/>
      <c r="M35" s="43"/>
      <c r="N35" s="43">
        <v>0.5</v>
      </c>
      <c r="O35" s="43"/>
      <c r="P35" s="43">
        <v>4</v>
      </c>
      <c r="Q35" s="44"/>
      <c r="R35" s="42"/>
      <c r="S35" s="43"/>
      <c r="T35" s="44"/>
      <c r="U35" s="43"/>
      <c r="V35" s="43"/>
      <c r="W35" s="44"/>
    </row>
    <row r="36" spans="2:23" ht="14.25">
      <c r="B36" s="40"/>
      <c r="C36" s="41"/>
      <c r="D36" s="42" t="s">
        <v>232</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40</v>
      </c>
      <c r="C38" s="46">
        <v>1</v>
      </c>
      <c r="D38" s="19" t="s">
        <v>236</v>
      </c>
      <c r="E38" s="20"/>
      <c r="F38" s="20"/>
      <c r="G38" s="20"/>
      <c r="H38" s="20"/>
      <c r="I38" s="20"/>
      <c r="J38" s="20"/>
      <c r="K38" s="20"/>
      <c r="L38" s="20"/>
      <c r="M38" s="20"/>
      <c r="N38" s="20">
        <v>0.25</v>
      </c>
      <c r="O38" s="20"/>
      <c r="P38" s="20">
        <v>4</v>
      </c>
      <c r="Q38" s="23"/>
      <c r="R38" s="20"/>
      <c r="S38" s="20"/>
      <c r="T38" s="23"/>
      <c r="U38" s="20"/>
      <c r="V38" s="20"/>
      <c r="W38" s="23"/>
    </row>
    <row r="39" spans="2:23" ht="14.25">
      <c r="B39" s="45"/>
      <c r="C39" s="46"/>
      <c r="D39" s="19" t="s">
        <v>232</v>
      </c>
      <c r="E39" s="20"/>
      <c r="F39" s="20"/>
      <c r="G39" s="20"/>
      <c r="H39" s="20"/>
      <c r="I39" s="20"/>
      <c r="J39" s="20"/>
      <c r="K39" s="20"/>
      <c r="L39" s="20"/>
      <c r="M39" s="20"/>
      <c r="N39" s="20"/>
      <c r="O39" s="20"/>
      <c r="P39" s="20"/>
      <c r="Q39" s="23"/>
      <c r="R39" s="20"/>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50</v>
      </c>
      <c r="C41" s="41">
        <v>60</v>
      </c>
      <c r="D41" s="42" t="s">
        <v>67</v>
      </c>
      <c r="E41" s="43"/>
      <c r="F41" s="43"/>
      <c r="G41" s="43"/>
      <c r="H41" s="43"/>
      <c r="I41" s="43"/>
      <c r="J41" s="43"/>
      <c r="K41" s="43"/>
      <c r="L41" s="43"/>
      <c r="M41" s="43"/>
      <c r="N41" s="43">
        <v>0</v>
      </c>
      <c r="O41" s="43"/>
      <c r="P41" s="43">
        <v>0</v>
      </c>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1.25</v>
      </c>
      <c r="O57" s="29"/>
      <c r="P57" s="29">
        <f>SUM(P28:P55)</f>
        <v>9</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W57"/>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395</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114209-00S</v>
      </c>
      <c r="E9" s="20"/>
      <c r="F9" s="20"/>
      <c r="G9" s="20"/>
      <c r="H9" s="20"/>
      <c r="I9" s="20"/>
      <c r="J9" s="20"/>
      <c r="K9" s="20"/>
      <c r="L9" s="20"/>
      <c r="M9" s="20"/>
      <c r="N9" s="24" t="s">
        <v>2</v>
      </c>
      <c r="O9" s="20"/>
      <c r="P9" s="129"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SIDE,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114209-00S</v>
      </c>
      <c r="H19" s="13" t="str">
        <f>D11</f>
        <v>PLATE, SIDE, BRACKET, MC STAND</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PLT, .50 THK, 5.25 WD, 5.75 LG</v>
      </c>
      <c r="Q25" s="50">
        <f>INDEX(BOM!M:M,MATCH($P$3,BOM!$P:$P,0)+1,1)</f>
        <v>8</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233</v>
      </c>
      <c r="E32" s="20"/>
      <c r="F32" s="20"/>
      <c r="G32" s="20"/>
      <c r="H32" s="20"/>
      <c r="I32" s="20"/>
      <c r="J32" s="20"/>
      <c r="K32" s="20"/>
      <c r="L32" s="20"/>
      <c r="M32" s="20"/>
      <c r="N32" s="20">
        <v>0.5</v>
      </c>
      <c r="O32" s="20"/>
      <c r="P32" s="20">
        <v>2</v>
      </c>
      <c r="Q32" s="23"/>
      <c r="R32" s="19"/>
      <c r="S32" s="20"/>
      <c r="T32" s="23"/>
      <c r="U32" s="20"/>
      <c r="V32" s="20"/>
      <c r="W32" s="23"/>
    </row>
    <row r="33" spans="2:23" ht="14.25">
      <c r="B33" s="45"/>
      <c r="C33" s="46"/>
      <c r="D33" s="19" t="s">
        <v>232</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234</v>
      </c>
      <c r="E35" s="43"/>
      <c r="F35" s="43"/>
      <c r="G35" s="43"/>
      <c r="H35" s="43"/>
      <c r="I35" s="43"/>
      <c r="J35" s="43"/>
      <c r="K35" s="43"/>
      <c r="L35" s="43"/>
      <c r="M35" s="43"/>
      <c r="N35" s="43">
        <v>0.25</v>
      </c>
      <c r="O35" s="43"/>
      <c r="P35" s="43">
        <v>4</v>
      </c>
      <c r="Q35" s="44"/>
      <c r="R35" s="42"/>
      <c r="S35" s="43"/>
      <c r="T35" s="44"/>
      <c r="U35" s="43"/>
      <c r="V35" s="43"/>
      <c r="W35" s="44"/>
    </row>
    <row r="36" spans="2:23" ht="14.25">
      <c r="B36" s="40"/>
      <c r="C36" s="41"/>
      <c r="D36" s="42" t="s">
        <v>232</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40</v>
      </c>
      <c r="C38" s="46">
        <v>60</v>
      </c>
      <c r="D38" s="19" t="s">
        <v>67</v>
      </c>
      <c r="E38" s="20"/>
      <c r="F38" s="20"/>
      <c r="G38" s="20"/>
      <c r="H38" s="20"/>
      <c r="I38" s="20"/>
      <c r="J38" s="20"/>
      <c r="K38" s="20"/>
      <c r="L38" s="20"/>
      <c r="M38" s="20"/>
      <c r="N38" s="20">
        <v>0</v>
      </c>
      <c r="O38" s="20"/>
      <c r="P38" s="20">
        <v>0</v>
      </c>
      <c r="Q38" s="23"/>
      <c r="R38" s="20"/>
      <c r="S38" s="20"/>
      <c r="T38" s="23"/>
      <c r="U38" s="20"/>
      <c r="V38" s="20"/>
      <c r="W38" s="23"/>
    </row>
    <row r="39" spans="2:23" ht="14.25">
      <c r="B39" s="45"/>
      <c r="C39" s="46"/>
      <c r="D39" s="19"/>
      <c r="E39" s="20"/>
      <c r="F39" s="20"/>
      <c r="G39" s="20"/>
      <c r="H39" s="20"/>
      <c r="I39" s="20"/>
      <c r="J39" s="20"/>
      <c r="K39" s="20"/>
      <c r="L39" s="20"/>
      <c r="M39" s="20"/>
      <c r="N39" s="20"/>
      <c r="O39" s="20"/>
      <c r="P39" s="20"/>
      <c r="Q39" s="23"/>
      <c r="R39" s="20"/>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0.75</v>
      </c>
      <c r="O57" s="29"/>
      <c r="P57" s="29">
        <f>SUM(P28:P55)</f>
        <v>6</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W57"/>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114427-00S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BRACKET, BRACE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114427-00S</v>
      </c>
      <c r="H19" s="13" t="str">
        <f>D11</f>
        <v>PLATE, BRACKET, BRACE</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PLT, .50 THK, 5.25 WD, 5.25 LG</v>
      </c>
      <c r="Q25" s="50">
        <f>INDEX(BOM!M:M,MATCH($P$3,BOM!$P:$P,0)+1,1)</f>
        <v>8</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231</v>
      </c>
      <c r="E32" s="20"/>
      <c r="F32" s="20"/>
      <c r="G32" s="20"/>
      <c r="H32" s="20"/>
      <c r="I32" s="20"/>
      <c r="J32" s="20"/>
      <c r="K32" s="20"/>
      <c r="L32" s="20"/>
      <c r="M32" s="20"/>
      <c r="N32" s="20">
        <v>0.5</v>
      </c>
      <c r="O32" s="20"/>
      <c r="P32" s="20">
        <v>1</v>
      </c>
      <c r="Q32" s="23"/>
      <c r="R32" s="19"/>
      <c r="S32" s="20"/>
      <c r="T32" s="23"/>
      <c r="U32" s="20"/>
      <c r="V32" s="20"/>
      <c r="W32" s="23"/>
    </row>
    <row r="33" spans="2:23" ht="14.25">
      <c r="B33" s="45"/>
      <c r="C33" s="46"/>
      <c r="D33" s="19" t="s">
        <v>232</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67</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c r="C38" s="46"/>
      <c r="D38" s="19"/>
      <c r="E38" s="20"/>
      <c r="F38" s="20"/>
      <c r="G38" s="20"/>
      <c r="H38" s="20"/>
      <c r="I38" s="20"/>
      <c r="J38" s="20"/>
      <c r="K38" s="20"/>
      <c r="L38" s="20"/>
      <c r="M38" s="20"/>
      <c r="N38" s="20"/>
      <c r="O38" s="20"/>
      <c r="P38" s="20"/>
      <c r="Q38" s="23"/>
      <c r="R38" s="20"/>
      <c r="S38" s="20"/>
      <c r="T38" s="23"/>
      <c r="U38" s="20"/>
      <c r="V38" s="20"/>
      <c r="W38" s="23"/>
    </row>
    <row r="39" spans="2:23" ht="14.25">
      <c r="B39" s="45"/>
      <c r="C39" s="46"/>
      <c r="D39" s="19"/>
      <c r="E39" s="20"/>
      <c r="F39" s="20"/>
      <c r="G39" s="20"/>
      <c r="H39" s="20"/>
      <c r="I39" s="20"/>
      <c r="J39" s="20"/>
      <c r="K39" s="20"/>
      <c r="L39" s="20"/>
      <c r="M39" s="20"/>
      <c r="N39" s="20"/>
      <c r="O39" s="20"/>
      <c r="P39" s="20"/>
      <c r="Q39" s="23"/>
      <c r="R39" s="20"/>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0.5</v>
      </c>
      <c r="O57" s="29"/>
      <c r="P57" s="29">
        <f>SUM(P28:P55)</f>
        <v>1</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4.xml><?xml version="1.0" encoding="utf-8"?>
<worksheet xmlns="http://schemas.openxmlformats.org/spreadsheetml/2006/main" xmlns:r="http://schemas.openxmlformats.org/officeDocument/2006/relationships">
  <dimension ref="B2:W52"/>
  <sheetViews>
    <sheetView workbookViewId="0" topLeftCell="A34">
      <selection activeCell="A47" sqref="A47:IV5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114251-00S</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RIGHT, MCA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114251-00S</v>
      </c>
      <c r="H19" s="13" t="str">
        <f>D11</f>
        <v>TUBE, RIGHT, MCA TUBE </v>
      </c>
      <c r="Q19" s="13" t="s">
        <v>536</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114252-00WS</v>
      </c>
      <c r="H26" s="50" t="str">
        <f>INDEX(BOM!J:J,MATCH($P$3,BOM!$P:$P,0)+1,1)</f>
        <v>WELDMENT, TUBE, RIGHT, MCA TUBE</v>
      </c>
      <c r="Q26" s="50">
        <f>INDEX(BOM!M:M,MATCH($P$3,BOM!$P:$P,0)+1,1)</f>
        <v>4</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248</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t="s">
        <v>249</v>
      </c>
      <c r="E32" s="20"/>
      <c r="F32" s="20"/>
      <c r="G32" s="20"/>
      <c r="H32" s="20"/>
      <c r="I32" s="20"/>
      <c r="J32" s="20"/>
      <c r="K32" s="20"/>
      <c r="L32" s="20"/>
      <c r="M32" s="20"/>
      <c r="N32" s="20"/>
      <c r="O32" s="20"/>
      <c r="P32" s="20"/>
      <c r="Q32" s="23"/>
      <c r="R32" s="19"/>
      <c r="S32" s="20"/>
      <c r="T32" s="23"/>
      <c r="U32" s="20"/>
      <c r="V32" s="20"/>
      <c r="W32" s="23"/>
    </row>
    <row r="33" spans="2:23" ht="14.25">
      <c r="B33" s="45">
        <v>20</v>
      </c>
      <c r="C33" s="46">
        <v>1</v>
      </c>
      <c r="D33" s="19" t="s">
        <v>250</v>
      </c>
      <c r="E33" s="20"/>
      <c r="F33" s="20"/>
      <c r="G33" s="20"/>
      <c r="H33" s="20"/>
      <c r="I33" s="20"/>
      <c r="J33" s="20"/>
      <c r="K33" s="20"/>
      <c r="L33" s="20"/>
      <c r="M33" s="20"/>
      <c r="N33" s="20">
        <v>0.75</v>
      </c>
      <c r="O33" s="20"/>
      <c r="P33" s="20">
        <v>4</v>
      </c>
      <c r="Q33" s="23"/>
      <c r="R33" s="19"/>
      <c r="S33" s="20"/>
      <c r="T33" s="23"/>
      <c r="U33" s="20"/>
      <c r="V33" s="20"/>
      <c r="W33" s="23"/>
    </row>
    <row r="34" spans="2:23" ht="14.25">
      <c r="B34" s="45"/>
      <c r="C34" s="46"/>
      <c r="D34" s="19" t="s">
        <v>251</v>
      </c>
      <c r="E34" s="20"/>
      <c r="F34" s="20"/>
      <c r="G34" s="20"/>
      <c r="H34" s="20"/>
      <c r="I34" s="20"/>
      <c r="J34" s="20"/>
      <c r="K34" s="20"/>
      <c r="L34" s="20"/>
      <c r="M34" s="20"/>
      <c r="N34" s="20"/>
      <c r="O34" s="20"/>
      <c r="P34" s="20"/>
      <c r="Q34" s="23"/>
      <c r="R34" s="19"/>
      <c r="S34" s="20"/>
      <c r="T34" s="23"/>
      <c r="U34" s="20"/>
      <c r="V34" s="20"/>
      <c r="W34" s="23"/>
    </row>
    <row r="35" spans="2:23" ht="14.25">
      <c r="B35" s="40"/>
      <c r="C35" s="41"/>
      <c r="D35" s="42" t="s">
        <v>252</v>
      </c>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253</v>
      </c>
      <c r="E36" s="43"/>
      <c r="F36" s="43"/>
      <c r="G36" s="43"/>
      <c r="H36" s="43"/>
      <c r="I36" s="43"/>
      <c r="J36" s="43"/>
      <c r="K36" s="43"/>
      <c r="L36" s="43"/>
      <c r="M36" s="43"/>
      <c r="N36" s="43">
        <v>0.5</v>
      </c>
      <c r="O36" s="43"/>
      <c r="P36" s="43">
        <v>4</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254</v>
      </c>
      <c r="E39" s="20"/>
      <c r="F39" s="20"/>
      <c r="G39" s="20"/>
      <c r="H39" s="20"/>
      <c r="I39" s="20"/>
      <c r="J39" s="20"/>
      <c r="K39" s="20"/>
      <c r="L39" s="20"/>
      <c r="M39" s="20"/>
      <c r="N39" s="20">
        <v>1</v>
      </c>
      <c r="O39" s="20"/>
      <c r="P39" s="20">
        <v>4</v>
      </c>
      <c r="Q39" s="23"/>
      <c r="R39" s="19"/>
      <c r="S39" s="20"/>
      <c r="T39" s="23"/>
      <c r="U39" s="20"/>
      <c r="V39" s="20"/>
      <c r="W39" s="23"/>
    </row>
    <row r="40" spans="2:23" ht="14.25">
      <c r="B40" s="45"/>
      <c r="C40" s="46"/>
      <c r="D40" s="19" t="s">
        <v>255</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47</v>
      </c>
      <c r="D42" s="42" t="s">
        <v>256</v>
      </c>
      <c r="E42" s="43"/>
      <c r="F42" s="43"/>
      <c r="G42" s="43"/>
      <c r="H42" s="43"/>
      <c r="I42" s="43"/>
      <c r="J42" s="43"/>
      <c r="K42" s="43"/>
      <c r="L42" s="43"/>
      <c r="M42" s="43"/>
      <c r="N42" s="43">
        <v>0.5</v>
      </c>
      <c r="O42" s="43"/>
      <c r="P42" s="43">
        <v>1</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6">
        <v>60</v>
      </c>
      <c r="D45" s="19" t="s">
        <v>257</v>
      </c>
      <c r="E45" s="20"/>
      <c r="F45" s="20"/>
      <c r="G45" s="20"/>
      <c r="H45" s="20"/>
      <c r="I45" s="20"/>
      <c r="J45" s="20"/>
      <c r="K45" s="20"/>
      <c r="L45" s="20"/>
      <c r="M45" s="20"/>
      <c r="N45" s="20">
        <v>0.75</v>
      </c>
      <c r="O45" s="20"/>
      <c r="P45" s="20">
        <v>1.5</v>
      </c>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3.5</v>
      </c>
      <c r="O52" s="29"/>
      <c r="P52" s="29">
        <f>SUM(P29:P50)</f>
        <v>14.5</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7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B2:W57"/>
  <sheetViews>
    <sheetView workbookViewId="0" topLeftCell="A34">
      <selection activeCell="A55" sqref="A55:IV60"/>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114252-00WS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TUBE, RIGHT,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114252-00WS</v>
      </c>
      <c r="H19" s="13" t="str">
        <f>D11</f>
        <v>WELDMENT, TUBE, RIGHT, MCA TUBE</v>
      </c>
      <c r="Q19" s="13" t="s">
        <v>537</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114203-01S</v>
      </c>
      <c r="H26" s="50" t="str">
        <f>INDEX(BOM!J:J,MATCH($P$3,BOM!$P:$P,0)+1,1)</f>
        <v>ROLL-UP, MC-A TUBES</v>
      </c>
      <c r="Q26" s="50">
        <f>INDEX(BOM!M:M,MATCH($P$3,BOM!$P:$P,0)+1,1)</f>
        <v>4</v>
      </c>
    </row>
    <row r="27" spans="2:17" ht="14.25">
      <c r="B27" s="31"/>
      <c r="C27" s="50" t="str">
        <f>INDEX(BOM!I:I,MATCH($P$3,BOM!$P:$P,0)+4,1)</f>
        <v>114204-00S</v>
      </c>
      <c r="H27" s="50" t="str">
        <f>INDEX(BOM!J:J,MATCH($P$3,BOM!$P:$P,0)+4,1)</f>
        <v>STIFFENER, 1/3, PLAIN, MC TUBE</v>
      </c>
      <c r="Q27" s="50">
        <f>INDEX(BOM!M:M,MATCH($P$3,BOM!$P:$P,0)+4,1)</f>
        <v>24</v>
      </c>
    </row>
    <row r="28" spans="2:17" ht="14.25">
      <c r="B28" s="31"/>
      <c r="C28" s="50" t="str">
        <f>INDEX(BOM!I:I,MATCH($P$3,BOM!$P:$P,0)+6,1)</f>
        <v>114205-00S</v>
      </c>
      <c r="H28" s="50" t="str">
        <f>INDEX(BOM!J:J,MATCH($P$3,BOM!$P:$P,0)+6,1)</f>
        <v>STIFFENER, LIFTING, MC TUBES</v>
      </c>
      <c r="Q28" s="50">
        <f>INDEX(BOM!M:M,MATCH($P$3,BOM!$P:$P,0)+6,1)</f>
        <v>4</v>
      </c>
    </row>
    <row r="29" spans="2:17" ht="14.25">
      <c r="B29" s="31"/>
      <c r="C29" s="50" t="str">
        <f>INDEX(BOM!I:I,MATCH($P$3,BOM!$P:$P,0)+8,1)</f>
        <v>114206-00S</v>
      </c>
      <c r="H29" s="50" t="str">
        <f>INDEX(BOM!J:J,MATCH($P$3,BOM!$P:$P,0)+8,1)</f>
        <v>STIFFENER, THICK, MC TUBES</v>
      </c>
      <c r="Q29" s="50">
        <f>INDEX(BOM!M:M,MATCH($P$3,BOM!$P:$P,0)+8,1)</f>
        <v>8</v>
      </c>
    </row>
    <row r="30" spans="2:17" ht="14.25">
      <c r="B30" s="31"/>
      <c r="C30" s="50" t="str">
        <f>INDEX(BOM!I:I,MATCH($P$3,BOM!$P:$P,0)+10,1)</f>
        <v>114207-00WS</v>
      </c>
      <c r="H30" s="50" t="str">
        <f>INDEX(BOM!J:J,MATCH($P$3,BOM!$P:$P,0)+10,1)</f>
        <v>WELDMENT, BRACKET, MC TUBE </v>
      </c>
      <c r="Q30" s="50">
        <f>INDEX(BOM!M:M,MATCH($P$3,BOM!$P:$P,0)+10,1)</f>
        <v>8</v>
      </c>
    </row>
    <row r="31" spans="2:17" ht="14.25">
      <c r="B31" s="31"/>
      <c r="C31" s="50" t="str">
        <f>INDEX(BOM!I:I,MATCH($P$3,BOM!$P:$P,0)+15,1)</f>
        <v>114427-00S</v>
      </c>
      <c r="H31" s="50" t="str">
        <f>INDEX(BOM!J:J,MATCH($P$3,BOM!$P:$P,0)+15,1)</f>
        <v>PLATE, BRACKET, BRACE</v>
      </c>
      <c r="Q31" s="50">
        <f>INDEX(BOM!M:M,MATCH($P$3,BOM!$P:$P,0)+15,1)</f>
        <v>8</v>
      </c>
    </row>
    <row r="32" ht="15" thickBot="1">
      <c r="B32" s="31"/>
    </row>
    <row r="33" spans="2:23" ht="15" thickBot="1">
      <c r="B33" s="34" t="s">
        <v>17</v>
      </c>
      <c r="C33" s="35" t="s">
        <v>18</v>
      </c>
      <c r="D33" s="36" t="s">
        <v>19</v>
      </c>
      <c r="E33" s="37"/>
      <c r="F33" s="37"/>
      <c r="G33" s="37"/>
      <c r="H33" s="37"/>
      <c r="I33" s="37"/>
      <c r="J33" s="37"/>
      <c r="K33" s="37"/>
      <c r="L33" s="37"/>
      <c r="M33" s="37"/>
      <c r="N33" s="37" t="s">
        <v>20</v>
      </c>
      <c r="O33" s="37"/>
      <c r="P33" s="37" t="s">
        <v>21</v>
      </c>
      <c r="Q33" s="38"/>
      <c r="R33" s="36"/>
      <c r="S33" s="39" t="s">
        <v>22</v>
      </c>
      <c r="T33" s="38"/>
      <c r="U33" s="37"/>
      <c r="V33" s="39" t="s">
        <v>23</v>
      </c>
      <c r="W33" s="38"/>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10</v>
      </c>
      <c r="C35" s="41">
        <v>60</v>
      </c>
      <c r="D35" s="42" t="s">
        <v>209</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t="s">
        <v>245</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20</v>
      </c>
      <c r="C38" s="46">
        <v>20</v>
      </c>
      <c r="D38" s="19" t="s">
        <v>237</v>
      </c>
      <c r="E38" s="20"/>
      <c r="F38" s="20"/>
      <c r="G38" s="20"/>
      <c r="H38" s="20"/>
      <c r="I38" s="20"/>
      <c r="J38" s="20"/>
      <c r="K38" s="20"/>
      <c r="L38" s="20"/>
      <c r="M38" s="20"/>
      <c r="N38" s="20">
        <v>0.25</v>
      </c>
      <c r="O38" s="20"/>
      <c r="P38" s="20">
        <v>1</v>
      </c>
      <c r="R38" s="19"/>
      <c r="S38" s="20"/>
      <c r="T38" s="23"/>
      <c r="U38" s="20"/>
      <c r="V38" s="20"/>
      <c r="W38" s="23"/>
    </row>
    <row r="39" spans="2:23" ht="14.25">
      <c r="B39" s="45"/>
      <c r="C39" s="46"/>
      <c r="D39" s="19"/>
      <c r="E39" s="20"/>
      <c r="F39" s="20"/>
      <c r="G39" s="20"/>
      <c r="H39" s="20"/>
      <c r="I39" s="20"/>
      <c r="J39" s="20"/>
      <c r="K39" s="20"/>
      <c r="L39" s="20"/>
      <c r="M39" s="20"/>
      <c r="N39" s="20"/>
      <c r="O39" s="20"/>
      <c r="P39" s="20"/>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30</v>
      </c>
      <c r="C41" s="40">
        <v>10</v>
      </c>
      <c r="D41" s="43" t="s">
        <v>246</v>
      </c>
      <c r="E41" s="43"/>
      <c r="F41" s="43"/>
      <c r="G41" s="43"/>
      <c r="H41" s="43"/>
      <c r="I41" s="43"/>
      <c r="J41" s="43"/>
      <c r="K41" s="43"/>
      <c r="L41" s="43"/>
      <c r="M41" s="43"/>
      <c r="N41" s="43">
        <v>0.25</v>
      </c>
      <c r="O41" s="43"/>
      <c r="P41" s="43">
        <v>3</v>
      </c>
      <c r="Q41" s="43"/>
      <c r="R41" s="42"/>
      <c r="S41" s="43"/>
      <c r="T41" s="44"/>
      <c r="U41" s="43"/>
      <c r="V41" s="43"/>
      <c r="W41" s="44"/>
    </row>
    <row r="42" spans="2:23" ht="14.25">
      <c r="B42" s="40"/>
      <c r="C42" s="40"/>
      <c r="D42" s="43" t="s">
        <v>241</v>
      </c>
      <c r="E42" s="43"/>
      <c r="F42" s="43"/>
      <c r="G42" s="43"/>
      <c r="H42" s="43"/>
      <c r="I42" s="43"/>
      <c r="J42" s="43"/>
      <c r="K42" s="43"/>
      <c r="L42" s="43"/>
      <c r="M42" s="43"/>
      <c r="N42" s="43"/>
      <c r="O42" s="43"/>
      <c r="P42" s="43"/>
      <c r="Q42" s="43"/>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40</v>
      </c>
      <c r="C44" s="45">
        <v>47</v>
      </c>
      <c r="D44" s="20" t="s">
        <v>247</v>
      </c>
      <c r="E44" s="20"/>
      <c r="F44" s="20"/>
      <c r="G44" s="20"/>
      <c r="H44" s="20"/>
      <c r="I44" s="20"/>
      <c r="J44" s="20"/>
      <c r="K44" s="20"/>
      <c r="L44" s="20"/>
      <c r="M44" s="20"/>
      <c r="N44" s="20">
        <v>0</v>
      </c>
      <c r="O44" s="20"/>
      <c r="P44" s="20">
        <v>1</v>
      </c>
      <c r="Q44" s="23"/>
      <c r="R44" s="20"/>
      <c r="S44" s="20"/>
      <c r="T44" s="23"/>
      <c r="U44" s="20"/>
      <c r="V44" s="20"/>
      <c r="W44" s="23"/>
    </row>
    <row r="45" spans="2:23" ht="14.25">
      <c r="B45" s="45"/>
      <c r="C45" s="98"/>
      <c r="D45" s="20"/>
      <c r="E45" s="20"/>
      <c r="F45" s="20"/>
      <c r="G45" s="20"/>
      <c r="H45" s="20"/>
      <c r="I45" s="20"/>
      <c r="J45" s="20"/>
      <c r="K45" s="20"/>
      <c r="L45" s="20"/>
      <c r="M45" s="20"/>
      <c r="N45" s="20"/>
      <c r="O45" s="20"/>
      <c r="P45" s="20"/>
      <c r="Q45" s="23"/>
      <c r="R45" s="20"/>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50</v>
      </c>
      <c r="C47" s="41">
        <v>10</v>
      </c>
      <c r="D47" s="42" t="s">
        <v>240</v>
      </c>
      <c r="E47" s="43"/>
      <c r="F47" s="43"/>
      <c r="G47" s="43"/>
      <c r="H47" s="43"/>
      <c r="I47" s="43"/>
      <c r="J47" s="43"/>
      <c r="K47" s="43"/>
      <c r="L47" s="43"/>
      <c r="M47" s="43"/>
      <c r="N47" s="43">
        <v>0.25</v>
      </c>
      <c r="O47" s="43"/>
      <c r="P47" s="43">
        <v>8</v>
      </c>
      <c r="Q47" s="44"/>
      <c r="R47" s="42"/>
      <c r="S47" s="43"/>
      <c r="T47" s="44"/>
      <c r="U47" s="43"/>
      <c r="V47" s="43"/>
      <c r="W47" s="44"/>
    </row>
    <row r="48" spans="2:23" ht="14.25">
      <c r="B48" s="40"/>
      <c r="C48" s="40"/>
      <c r="D48" s="43" t="s">
        <v>241</v>
      </c>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60</v>
      </c>
      <c r="C50" s="46">
        <v>47</v>
      </c>
      <c r="D50" s="19" t="s">
        <v>242</v>
      </c>
      <c r="E50" s="20"/>
      <c r="F50" s="20"/>
      <c r="G50" s="20"/>
      <c r="H50" s="20"/>
      <c r="I50" s="20"/>
      <c r="J50" s="20"/>
      <c r="K50" s="20"/>
      <c r="L50" s="20"/>
      <c r="M50" s="20"/>
      <c r="N50" s="20">
        <v>0.1</v>
      </c>
      <c r="O50" s="20"/>
      <c r="P50" s="20">
        <v>1</v>
      </c>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v>70</v>
      </c>
      <c r="C53" s="41">
        <v>60</v>
      </c>
      <c r="D53" s="42" t="s">
        <v>67</v>
      </c>
      <c r="E53" s="43"/>
      <c r="F53" s="43"/>
      <c r="G53" s="43"/>
      <c r="H53" s="43"/>
      <c r="I53" s="43"/>
      <c r="J53" s="43"/>
      <c r="K53" s="43"/>
      <c r="L53" s="43"/>
      <c r="M53" s="43"/>
      <c r="N53" s="43">
        <v>0</v>
      </c>
      <c r="O53" s="43"/>
      <c r="P53" s="43">
        <v>0</v>
      </c>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SUM(N34:N55)</f>
        <v>0.85</v>
      </c>
      <c r="O57" s="29"/>
      <c r="P57" s="29">
        <f>SUM(P34:P55)</f>
        <v>14</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W54"/>
  <sheetViews>
    <sheetView workbookViewId="0" topLeftCell="A28">
      <selection activeCell="A49" sqref="A49:IV5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114204-00S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1/3, PLAIN, MC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114204-00S</v>
      </c>
      <c r="H19" s="13" t="str">
        <f>D11</f>
        <v>STIFFENER, 1/3, PLAIN, MC TUBE</v>
      </c>
      <c r="Q19" s="13" t="s">
        <v>145</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.38 THK, 24.37 WD, 78.75 LG</v>
      </c>
      <c r="Q26" s="50">
        <f>INDEX(BOM!M:M,MATCH($P$3,BOM!$P:$P,0)+1,1)</f>
        <v>24</v>
      </c>
    </row>
    <row r="27" spans="2:14" ht="14.25">
      <c r="B27" s="31"/>
      <c r="N27" s="137" t="str">
        <f>INDEX(BOM!N:N,MATCH($P$3,BOM!$P:$P,0)+1,1)</f>
        <v>AISI 304/AISI 304L DUAL CERTIFIED PER ASME SPEC SA-240</v>
      </c>
    </row>
    <row r="28" spans="2:17" ht="14.25">
      <c r="B28" s="31"/>
      <c r="C28" s="50"/>
      <c r="H28" s="50"/>
      <c r="Q28" s="50"/>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209</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210</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50</v>
      </c>
      <c r="D35" s="19" t="s">
        <v>243</v>
      </c>
      <c r="E35" s="20"/>
      <c r="F35" s="20"/>
      <c r="G35" s="20"/>
      <c r="H35" s="20"/>
      <c r="I35" s="20"/>
      <c r="J35" s="20"/>
      <c r="K35" s="20"/>
      <c r="L35" s="20"/>
      <c r="M35" s="20"/>
      <c r="N35" s="20">
        <v>0.5</v>
      </c>
      <c r="O35" s="20"/>
      <c r="P35" s="20">
        <v>8</v>
      </c>
      <c r="R35" s="19"/>
      <c r="S35" s="20"/>
      <c r="T35" s="23"/>
      <c r="U35" s="20"/>
      <c r="V35" s="20"/>
      <c r="W35" s="23"/>
    </row>
    <row r="36" spans="2:23" ht="14.25">
      <c r="B36" s="45"/>
      <c r="C36" s="46"/>
      <c r="D36" s="19"/>
      <c r="E36" s="20"/>
      <c r="F36" s="20"/>
      <c r="G36" s="20"/>
      <c r="H36" s="20"/>
      <c r="I36" s="20"/>
      <c r="J36" s="20"/>
      <c r="K36" s="20"/>
      <c r="L36" s="20"/>
      <c r="M36" s="20"/>
      <c r="N36" s="20"/>
      <c r="O36" s="20"/>
      <c r="P36" s="20"/>
      <c r="R36" s="19"/>
      <c r="S36" s="20"/>
      <c r="T36" s="23"/>
      <c r="U36" s="20"/>
      <c r="V36" s="20"/>
      <c r="W36" s="23"/>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0">
        <v>30</v>
      </c>
      <c r="C38" s="40">
        <v>60</v>
      </c>
      <c r="D38" s="43" t="s">
        <v>525</v>
      </c>
      <c r="E38" s="43"/>
      <c r="F38" s="43"/>
      <c r="G38" s="43"/>
      <c r="H38" s="43"/>
      <c r="I38" s="43"/>
      <c r="J38" s="43"/>
      <c r="K38" s="43"/>
      <c r="L38" s="43"/>
      <c r="M38" s="43"/>
      <c r="N38" s="43">
        <v>0</v>
      </c>
      <c r="O38" s="43"/>
      <c r="P38" s="43">
        <v>0</v>
      </c>
      <c r="Q38" s="44"/>
      <c r="R38" s="42"/>
      <c r="S38" s="43"/>
      <c r="T38" s="44"/>
      <c r="U38" s="43"/>
      <c r="V38" s="43"/>
      <c r="W38" s="44"/>
    </row>
    <row r="39" spans="2:23" ht="14.25">
      <c r="B39" s="40"/>
      <c r="C39" s="40"/>
      <c r="D39" s="43"/>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40</v>
      </c>
      <c r="C41" s="46">
        <v>1</v>
      </c>
      <c r="D41" s="19" t="s">
        <v>526</v>
      </c>
      <c r="E41" s="20"/>
      <c r="F41" s="20"/>
      <c r="G41" s="20"/>
      <c r="H41" s="20"/>
      <c r="I41" s="20"/>
      <c r="J41" s="20"/>
      <c r="K41" s="20"/>
      <c r="L41" s="20"/>
      <c r="M41" s="20"/>
      <c r="N41" s="20">
        <v>0.5</v>
      </c>
      <c r="O41" s="20"/>
      <c r="P41" s="20">
        <v>1</v>
      </c>
      <c r="Q41" s="23"/>
      <c r="R41" s="20"/>
      <c r="S41" s="20"/>
      <c r="T41" s="23"/>
      <c r="U41" s="20"/>
      <c r="V41" s="20"/>
      <c r="W41" s="23"/>
    </row>
    <row r="42" spans="2:23" ht="15">
      <c r="B42" s="45"/>
      <c r="C42" s="46"/>
      <c r="D42" s="19" t="s">
        <v>527</v>
      </c>
      <c r="E42" s="20"/>
      <c r="F42" s="20"/>
      <c r="G42" s="20"/>
      <c r="H42" s="20"/>
      <c r="I42" s="20"/>
      <c r="J42" s="20"/>
      <c r="K42" s="20"/>
      <c r="L42" s="20"/>
      <c r="M42" s="20"/>
      <c r="N42" s="20"/>
      <c r="O42" s="20"/>
      <c r="P42" s="20"/>
      <c r="Q42" s="23"/>
      <c r="R42" s="20"/>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0">
        <v>47</v>
      </c>
      <c r="D44" s="43" t="s">
        <v>244</v>
      </c>
      <c r="E44" s="43"/>
      <c r="F44" s="43"/>
      <c r="G44" s="43"/>
      <c r="H44" s="43"/>
      <c r="I44" s="43"/>
      <c r="J44" s="43"/>
      <c r="K44" s="43"/>
      <c r="L44" s="43"/>
      <c r="M44" s="43"/>
      <c r="N44" s="43">
        <v>0</v>
      </c>
      <c r="O44" s="43"/>
      <c r="P44" s="43">
        <v>2</v>
      </c>
      <c r="Q44" s="43"/>
      <c r="R44" s="42"/>
      <c r="S44" s="43"/>
      <c r="T44" s="44"/>
      <c r="U44" s="43"/>
      <c r="V44" s="43"/>
      <c r="W44" s="44"/>
    </row>
    <row r="45" spans="2:23" ht="14.25">
      <c r="B45" s="40"/>
      <c r="C45" s="40"/>
      <c r="D45" s="43"/>
      <c r="E45" s="43"/>
      <c r="F45" s="43"/>
      <c r="G45" s="43"/>
      <c r="H45" s="43"/>
      <c r="I45" s="43"/>
      <c r="J45" s="43"/>
      <c r="K45" s="43"/>
      <c r="L45" s="43"/>
      <c r="M45" s="43"/>
      <c r="N45" s="43"/>
      <c r="O45" s="43"/>
      <c r="P45" s="43"/>
      <c r="Q45" s="43"/>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60</v>
      </c>
      <c r="C47" s="45">
        <v>60</v>
      </c>
      <c r="D47" s="20" t="s">
        <v>67</v>
      </c>
      <c r="E47" s="20"/>
      <c r="F47" s="20"/>
      <c r="G47" s="20"/>
      <c r="H47" s="20"/>
      <c r="I47" s="20"/>
      <c r="J47" s="20"/>
      <c r="K47" s="20"/>
      <c r="L47" s="20"/>
      <c r="M47" s="20"/>
      <c r="N47" s="20">
        <v>0</v>
      </c>
      <c r="O47" s="20"/>
      <c r="P47" s="20">
        <v>0</v>
      </c>
      <c r="Q47" s="23"/>
      <c r="R47" s="19"/>
      <c r="S47" s="20"/>
      <c r="T47" s="23"/>
      <c r="U47" s="20"/>
      <c r="V47" s="20"/>
      <c r="W47" s="23"/>
    </row>
    <row r="48" spans="2:23" ht="14.25">
      <c r="B48" s="45"/>
      <c r="C48" s="98"/>
      <c r="D48" s="20"/>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5" thickBot="1">
      <c r="B54" s="47"/>
      <c r="C54" s="48"/>
      <c r="D54" s="28"/>
      <c r="E54" s="29"/>
      <c r="F54" s="29"/>
      <c r="G54" s="29"/>
      <c r="H54" s="29"/>
      <c r="I54" s="29"/>
      <c r="J54" s="29"/>
      <c r="K54" s="29"/>
      <c r="L54" s="29"/>
      <c r="M54" s="49" t="s">
        <v>24</v>
      </c>
      <c r="N54" s="29">
        <f>SUM(N31:N52)</f>
        <v>1</v>
      </c>
      <c r="O54" s="29"/>
      <c r="P54" s="29">
        <f>SUM(P31:P52)</f>
        <v>11</v>
      </c>
      <c r="Q54" s="30"/>
      <c r="R54" s="28"/>
      <c r="S54" s="29"/>
      <c r="T54" s="30"/>
      <c r="U54" s="29"/>
      <c r="V54" s="29"/>
      <c r="W5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2:W54"/>
  <sheetViews>
    <sheetView view="pageBreakPreview" zoomScale="60" zoomScaleNormal="70" workbookViewId="0" topLeftCell="A16">
      <selection activeCell="A49" sqref="A49:IV5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114205-00S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LIFTING,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114205-00S</v>
      </c>
      <c r="H19" s="13" t="str">
        <f>D11</f>
        <v>STIFFENER, LIFTING, MC TUBES</v>
      </c>
      <c r="Q19" s="13" t="s">
        <v>145</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25.41 WD, 78.75 LG</v>
      </c>
      <c r="Q26" s="50">
        <f>INDEX(BOM!M:M,MATCH($P$3,BOM!$P:$P,0)+1,1)</f>
        <v>4</v>
      </c>
    </row>
    <row r="27" spans="2:14" ht="14.25">
      <c r="B27" s="31"/>
      <c r="N27" s="137" t="str">
        <f>INDEX(BOM!N:N,MATCH($P$3,BOM!$P:$P,0)+1,1)</f>
        <v>AISI 304/AISI 304L DUAL CERTIFIED PER ASME SPEC SA-240</v>
      </c>
    </row>
    <row r="28" spans="2:17" ht="14.25">
      <c r="B28" s="31"/>
      <c r="C28" s="50"/>
      <c r="H28" s="50"/>
      <c r="Q28" s="50"/>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209</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210</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50</v>
      </c>
      <c r="D35" s="19" t="s">
        <v>243</v>
      </c>
      <c r="E35" s="20"/>
      <c r="F35" s="20"/>
      <c r="G35" s="20"/>
      <c r="H35" s="20"/>
      <c r="I35" s="20"/>
      <c r="J35" s="20"/>
      <c r="K35" s="20"/>
      <c r="L35" s="20"/>
      <c r="M35" s="20"/>
      <c r="N35" s="20">
        <v>0.5</v>
      </c>
      <c r="O35" s="20"/>
      <c r="P35" s="20">
        <v>8</v>
      </c>
      <c r="R35" s="19"/>
      <c r="S35" s="20"/>
      <c r="T35" s="23"/>
      <c r="U35" s="20"/>
      <c r="V35" s="20"/>
      <c r="W35" s="23"/>
    </row>
    <row r="36" spans="2:23" ht="14.25">
      <c r="B36" s="45"/>
      <c r="C36" s="46"/>
      <c r="D36" s="19"/>
      <c r="E36" s="20"/>
      <c r="F36" s="20"/>
      <c r="G36" s="20"/>
      <c r="H36" s="20"/>
      <c r="I36" s="20"/>
      <c r="J36" s="20"/>
      <c r="K36" s="20"/>
      <c r="L36" s="20"/>
      <c r="M36" s="20"/>
      <c r="N36" s="20"/>
      <c r="O36" s="20"/>
      <c r="P36" s="20"/>
      <c r="R36" s="19"/>
      <c r="S36" s="20"/>
      <c r="T36" s="23"/>
      <c r="U36" s="20"/>
      <c r="V36" s="20"/>
      <c r="W36" s="23"/>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0">
        <v>30</v>
      </c>
      <c r="C38" s="40">
        <v>60</v>
      </c>
      <c r="D38" s="43" t="s">
        <v>525</v>
      </c>
      <c r="E38" s="43"/>
      <c r="F38" s="43"/>
      <c r="G38" s="43"/>
      <c r="H38" s="43"/>
      <c r="I38" s="43"/>
      <c r="J38" s="43"/>
      <c r="K38" s="43"/>
      <c r="L38" s="43"/>
      <c r="M38" s="43"/>
      <c r="N38" s="43">
        <v>0</v>
      </c>
      <c r="O38" s="43"/>
      <c r="P38" s="43">
        <v>0</v>
      </c>
      <c r="Q38" s="44"/>
      <c r="R38" s="42"/>
      <c r="S38" s="43"/>
      <c r="T38" s="44"/>
      <c r="U38" s="43"/>
      <c r="V38" s="43"/>
      <c r="W38" s="44"/>
    </row>
    <row r="39" spans="2:23" ht="14.25">
      <c r="B39" s="40"/>
      <c r="C39" s="40"/>
      <c r="D39" s="43"/>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40</v>
      </c>
      <c r="C41" s="46">
        <v>1</v>
      </c>
      <c r="D41" s="19" t="s">
        <v>526</v>
      </c>
      <c r="E41" s="20"/>
      <c r="F41" s="20"/>
      <c r="G41" s="20"/>
      <c r="H41" s="20"/>
      <c r="I41" s="20"/>
      <c r="J41" s="20"/>
      <c r="K41" s="20"/>
      <c r="L41" s="20"/>
      <c r="M41" s="20"/>
      <c r="N41" s="20">
        <v>0.5</v>
      </c>
      <c r="O41" s="20"/>
      <c r="P41" s="20">
        <v>1</v>
      </c>
      <c r="Q41" s="23"/>
      <c r="R41" s="20"/>
      <c r="S41" s="20"/>
      <c r="T41" s="23"/>
      <c r="U41" s="20"/>
      <c r="V41" s="20"/>
      <c r="W41" s="23"/>
    </row>
    <row r="42" spans="2:23" ht="15">
      <c r="B42" s="45"/>
      <c r="C42" s="46"/>
      <c r="D42" s="19" t="s">
        <v>527</v>
      </c>
      <c r="E42" s="20"/>
      <c r="F42" s="20"/>
      <c r="G42" s="20"/>
      <c r="H42" s="20"/>
      <c r="I42" s="20"/>
      <c r="J42" s="20"/>
      <c r="K42" s="20"/>
      <c r="L42" s="20"/>
      <c r="M42" s="20"/>
      <c r="N42" s="20"/>
      <c r="O42" s="20"/>
      <c r="P42" s="20"/>
      <c r="Q42" s="23"/>
      <c r="R42" s="20"/>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0">
        <v>47</v>
      </c>
      <c r="D44" s="43" t="s">
        <v>244</v>
      </c>
      <c r="E44" s="43"/>
      <c r="F44" s="43"/>
      <c r="G44" s="43"/>
      <c r="H44" s="43"/>
      <c r="I44" s="43"/>
      <c r="J44" s="43"/>
      <c r="K44" s="43"/>
      <c r="L44" s="43"/>
      <c r="M44" s="43"/>
      <c r="N44" s="43">
        <v>0</v>
      </c>
      <c r="O44" s="43"/>
      <c r="P44" s="43">
        <v>2</v>
      </c>
      <c r="Q44" s="43"/>
      <c r="R44" s="42"/>
      <c r="S44" s="43"/>
      <c r="T44" s="44"/>
      <c r="U44" s="43"/>
      <c r="V44" s="43"/>
      <c r="W44" s="44"/>
    </row>
    <row r="45" spans="2:23" ht="14.25">
      <c r="B45" s="40"/>
      <c r="C45" s="40"/>
      <c r="D45" s="43"/>
      <c r="E45" s="43"/>
      <c r="F45" s="43"/>
      <c r="G45" s="43"/>
      <c r="H45" s="43"/>
      <c r="I45" s="43"/>
      <c r="J45" s="43"/>
      <c r="K45" s="43"/>
      <c r="L45" s="43"/>
      <c r="M45" s="43"/>
      <c r="N45" s="43"/>
      <c r="O45" s="43"/>
      <c r="P45" s="43"/>
      <c r="Q45" s="43"/>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60</v>
      </c>
      <c r="C47" s="45">
        <v>60</v>
      </c>
      <c r="D47" s="20" t="s">
        <v>67</v>
      </c>
      <c r="E47" s="20"/>
      <c r="F47" s="20"/>
      <c r="G47" s="20"/>
      <c r="H47" s="20"/>
      <c r="I47" s="20"/>
      <c r="J47" s="20"/>
      <c r="K47" s="20"/>
      <c r="L47" s="20"/>
      <c r="M47" s="20"/>
      <c r="N47" s="20">
        <v>0</v>
      </c>
      <c r="O47" s="20"/>
      <c r="P47" s="20">
        <v>0</v>
      </c>
      <c r="Q47" s="23"/>
      <c r="R47" s="19"/>
      <c r="S47" s="20"/>
      <c r="T47" s="23"/>
      <c r="U47" s="20"/>
      <c r="V47" s="20"/>
      <c r="W47" s="23"/>
    </row>
    <row r="48" spans="2:23" ht="14.25">
      <c r="B48" s="45"/>
      <c r="C48" s="98"/>
      <c r="D48" s="20"/>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5" thickBot="1">
      <c r="B54" s="47"/>
      <c r="C54" s="48"/>
      <c r="D54" s="28"/>
      <c r="E54" s="29"/>
      <c r="F54" s="29"/>
      <c r="G54" s="29"/>
      <c r="H54" s="29"/>
      <c r="I54" s="29"/>
      <c r="J54" s="29"/>
      <c r="K54" s="29"/>
      <c r="L54" s="29"/>
      <c r="M54" s="49" t="s">
        <v>24</v>
      </c>
      <c r="N54" s="29">
        <f>SUM(N31:N52)</f>
        <v>1</v>
      </c>
      <c r="O54" s="29"/>
      <c r="P54" s="29">
        <f>SUM(P31:P52)</f>
        <v>11</v>
      </c>
      <c r="Q54" s="30"/>
      <c r="R54" s="28"/>
      <c r="S54" s="29"/>
      <c r="T54" s="30"/>
      <c r="U54" s="29"/>
      <c r="V54" s="29"/>
      <c r="W5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B2:W54"/>
  <sheetViews>
    <sheetView view="pageBreakPreview" zoomScale="60" zoomScaleNormal="70" workbookViewId="0" topLeftCell="A13">
      <selection activeCell="N52" sqref="N5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114206-00S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THICK,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114206-00S</v>
      </c>
      <c r="H19" s="13" t="str">
        <f>D11</f>
        <v>STIFFENER, THICK, MC TUBES</v>
      </c>
      <c r="Q19" s="13" t="s">
        <v>145</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24.41 WD, 78.75 LG</v>
      </c>
      <c r="Q26" s="50">
        <f>INDEX(BOM!M:M,MATCH($P$3,BOM!$P:$P,0)+1,1)</f>
        <v>8</v>
      </c>
    </row>
    <row r="27" spans="2:14" ht="14.25">
      <c r="B27" s="31"/>
      <c r="N27" s="137" t="str">
        <f>INDEX(BOM!N:N,MATCH($P$3,BOM!$P:$P,0)+1,1)</f>
        <v>AISI 304/AISI 304L DUAL CERTIFIED PER ASME SPEC SA-240</v>
      </c>
    </row>
    <row r="28" spans="2:17" ht="14.25">
      <c r="B28" s="31"/>
      <c r="C28" s="50"/>
      <c r="H28" s="50"/>
      <c r="Q28" s="50"/>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209</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210</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50</v>
      </c>
      <c r="D35" s="19" t="s">
        <v>243</v>
      </c>
      <c r="E35" s="20"/>
      <c r="F35" s="20"/>
      <c r="G35" s="20"/>
      <c r="H35" s="20"/>
      <c r="I35" s="20"/>
      <c r="J35" s="20"/>
      <c r="K35" s="20"/>
      <c r="L35" s="20"/>
      <c r="M35" s="20"/>
      <c r="N35" s="20">
        <v>0.5</v>
      </c>
      <c r="O35" s="20"/>
      <c r="P35" s="20">
        <v>8</v>
      </c>
      <c r="R35" s="19"/>
      <c r="S35" s="20"/>
      <c r="T35" s="23"/>
      <c r="U35" s="20"/>
      <c r="V35" s="20"/>
      <c r="W35" s="23"/>
    </row>
    <row r="36" spans="2:23" ht="14.25">
      <c r="B36" s="45"/>
      <c r="C36" s="46"/>
      <c r="D36" s="19"/>
      <c r="E36" s="20"/>
      <c r="F36" s="20"/>
      <c r="G36" s="20"/>
      <c r="H36" s="20"/>
      <c r="I36" s="20"/>
      <c r="J36" s="20"/>
      <c r="K36" s="20"/>
      <c r="L36" s="20"/>
      <c r="M36" s="20"/>
      <c r="N36" s="20"/>
      <c r="O36" s="20"/>
      <c r="P36" s="20"/>
      <c r="R36" s="19"/>
      <c r="S36" s="20"/>
      <c r="T36" s="23"/>
      <c r="U36" s="20"/>
      <c r="V36" s="20"/>
      <c r="W36" s="23"/>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0">
        <v>30</v>
      </c>
      <c r="C38" s="40">
        <v>60</v>
      </c>
      <c r="D38" s="43" t="s">
        <v>525</v>
      </c>
      <c r="E38" s="43"/>
      <c r="F38" s="43"/>
      <c r="G38" s="43"/>
      <c r="H38" s="43"/>
      <c r="I38" s="43"/>
      <c r="J38" s="43"/>
      <c r="K38" s="43"/>
      <c r="L38" s="43"/>
      <c r="M38" s="43"/>
      <c r="N38" s="43">
        <v>0</v>
      </c>
      <c r="O38" s="43"/>
      <c r="P38" s="43">
        <v>0</v>
      </c>
      <c r="Q38" s="44"/>
      <c r="R38" s="42"/>
      <c r="S38" s="43"/>
      <c r="T38" s="44"/>
      <c r="U38" s="43"/>
      <c r="V38" s="43"/>
      <c r="W38" s="44"/>
    </row>
    <row r="39" spans="2:23" ht="14.25">
      <c r="B39" s="40"/>
      <c r="C39" s="40"/>
      <c r="D39" s="43"/>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40</v>
      </c>
      <c r="C41" s="46">
        <v>1</v>
      </c>
      <c r="D41" s="19" t="s">
        <v>526</v>
      </c>
      <c r="E41" s="20"/>
      <c r="F41" s="20"/>
      <c r="G41" s="20"/>
      <c r="H41" s="20"/>
      <c r="I41" s="20"/>
      <c r="J41" s="20"/>
      <c r="K41" s="20"/>
      <c r="L41" s="20"/>
      <c r="M41" s="20"/>
      <c r="N41" s="20">
        <v>0.5</v>
      </c>
      <c r="O41" s="20"/>
      <c r="P41" s="20">
        <v>1</v>
      </c>
      <c r="Q41" s="23"/>
      <c r="R41" s="20"/>
      <c r="S41" s="20"/>
      <c r="T41" s="23"/>
      <c r="U41" s="20"/>
      <c r="V41" s="20"/>
      <c r="W41" s="23"/>
    </row>
    <row r="42" spans="2:23" ht="15">
      <c r="B42" s="45"/>
      <c r="C42" s="46"/>
      <c r="D42" s="19" t="s">
        <v>527</v>
      </c>
      <c r="E42" s="20"/>
      <c r="F42" s="20"/>
      <c r="G42" s="20"/>
      <c r="H42" s="20"/>
      <c r="I42" s="20"/>
      <c r="J42" s="20"/>
      <c r="K42" s="20"/>
      <c r="L42" s="20"/>
      <c r="M42" s="20"/>
      <c r="N42" s="20"/>
      <c r="O42" s="20"/>
      <c r="P42" s="20"/>
      <c r="Q42" s="23"/>
      <c r="R42" s="20"/>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0">
        <v>47</v>
      </c>
      <c r="D44" s="43" t="s">
        <v>244</v>
      </c>
      <c r="E44" s="43"/>
      <c r="F44" s="43"/>
      <c r="G44" s="43"/>
      <c r="H44" s="43"/>
      <c r="I44" s="43"/>
      <c r="J44" s="43"/>
      <c r="K44" s="43"/>
      <c r="L44" s="43"/>
      <c r="M44" s="43"/>
      <c r="N44" s="43">
        <v>0</v>
      </c>
      <c r="O44" s="43"/>
      <c r="P44" s="43">
        <v>2</v>
      </c>
      <c r="Q44" s="43"/>
      <c r="R44" s="42"/>
      <c r="S44" s="43"/>
      <c r="T44" s="44"/>
      <c r="U44" s="43"/>
      <c r="V44" s="43"/>
      <c r="W44" s="44"/>
    </row>
    <row r="45" spans="2:23" ht="14.25">
      <c r="B45" s="40"/>
      <c r="C45" s="40"/>
      <c r="D45" s="43"/>
      <c r="E45" s="43"/>
      <c r="F45" s="43"/>
      <c r="G45" s="43"/>
      <c r="H45" s="43"/>
      <c r="I45" s="43"/>
      <c r="J45" s="43"/>
      <c r="K45" s="43"/>
      <c r="L45" s="43"/>
      <c r="M45" s="43"/>
      <c r="N45" s="43"/>
      <c r="O45" s="43"/>
      <c r="P45" s="43"/>
      <c r="Q45" s="43"/>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60</v>
      </c>
      <c r="C47" s="45">
        <v>60</v>
      </c>
      <c r="D47" s="20" t="s">
        <v>67</v>
      </c>
      <c r="E47" s="20"/>
      <c r="F47" s="20"/>
      <c r="G47" s="20"/>
      <c r="H47" s="20"/>
      <c r="I47" s="20"/>
      <c r="J47" s="20"/>
      <c r="K47" s="20"/>
      <c r="L47" s="20"/>
      <c r="M47" s="20"/>
      <c r="N47" s="20">
        <v>0</v>
      </c>
      <c r="O47" s="20"/>
      <c r="P47" s="20">
        <v>0</v>
      </c>
      <c r="Q47" s="23"/>
      <c r="R47" s="19"/>
      <c r="S47" s="20"/>
      <c r="T47" s="23"/>
      <c r="U47" s="20"/>
      <c r="V47" s="20"/>
      <c r="W47" s="23"/>
    </row>
    <row r="48" spans="2:23" ht="14.25">
      <c r="B48" s="45"/>
      <c r="C48" s="98"/>
      <c r="D48" s="20"/>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5" thickBot="1">
      <c r="B54" s="47"/>
      <c r="C54" s="48"/>
      <c r="D54" s="28"/>
      <c r="E54" s="29"/>
      <c r="F54" s="29"/>
      <c r="G54" s="29"/>
      <c r="H54" s="29"/>
      <c r="I54" s="29"/>
      <c r="J54" s="29"/>
      <c r="K54" s="29"/>
      <c r="L54" s="29"/>
      <c r="M54" s="49" t="s">
        <v>24</v>
      </c>
      <c r="N54" s="29">
        <f>SUM(N31:N52)</f>
        <v>1</v>
      </c>
      <c r="O54" s="29"/>
      <c r="P54" s="29">
        <f>SUM(P31:P52)</f>
        <v>11</v>
      </c>
      <c r="Q54" s="30"/>
      <c r="R54" s="28"/>
      <c r="S54" s="29"/>
      <c r="T54" s="30"/>
      <c r="U54" s="29"/>
      <c r="V54" s="29"/>
      <c r="W5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2:W59"/>
  <sheetViews>
    <sheetView view="pageBreakPreview" zoomScale="6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114207-00WS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BRACKET, MC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114207-00WS</v>
      </c>
      <c r="H19" s="13" t="str">
        <f>D11</f>
        <v>WELDMENT, BRACKET, MC TUBE </v>
      </c>
      <c r="Q19" s="13" t="s">
        <v>536</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114208-00S</v>
      </c>
      <c r="H26" s="50" t="str">
        <f>INDEX(BOM!J:J,MATCH($P$3,BOM!$P:$P,0)+1,1)</f>
        <v>PLATE, TOP, BRACKET, MC STAND</v>
      </c>
      <c r="Q26" s="50">
        <f>INDEX(BOM!M:M,MATCH($P$3,BOM!$P:$P,0)+1,1)</f>
        <v>8</v>
      </c>
    </row>
    <row r="27" spans="2:17" ht="14.25">
      <c r="B27" s="31"/>
      <c r="C27" s="50" t="str">
        <f>INDEX(BOM!I:I,MATCH($P$3,BOM!$P:$P,0)+3,1)</f>
        <v>114209-00S</v>
      </c>
      <c r="H27" s="50" t="str">
        <f>INDEX(BOM!J:J,MATCH($P$3,BOM!$P:$P,0)+3,1)</f>
        <v>PLATE, SIDE, BRACKET, MC STAND</v>
      </c>
      <c r="Q27" s="50">
        <f>INDEX(BOM!M:M,MATCH($P$3,BOM!$P:$P,0)+3,1)</f>
        <v>8</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209</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210</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237</v>
      </c>
      <c r="E34" s="20"/>
      <c r="F34" s="20"/>
      <c r="G34" s="20"/>
      <c r="H34" s="20"/>
      <c r="I34" s="20"/>
      <c r="J34" s="20"/>
      <c r="K34" s="20"/>
      <c r="L34" s="20"/>
      <c r="M34" s="20"/>
      <c r="N34" s="20">
        <v>0.25</v>
      </c>
      <c r="O34" s="20"/>
      <c r="P34" s="20">
        <v>2</v>
      </c>
      <c r="R34" s="19"/>
      <c r="S34" s="20"/>
      <c r="T34" s="23"/>
      <c r="U34" s="20"/>
      <c r="V34" s="20"/>
      <c r="W34" s="23"/>
    </row>
    <row r="35" spans="2:23" ht="14.25">
      <c r="B35" s="45"/>
      <c r="C35" s="46"/>
      <c r="D35" s="19"/>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238</v>
      </c>
      <c r="E37" s="43"/>
      <c r="F37" s="43"/>
      <c r="G37" s="43"/>
      <c r="H37" s="43"/>
      <c r="I37" s="43"/>
      <c r="J37" s="43"/>
      <c r="K37" s="43"/>
      <c r="L37" s="43"/>
      <c r="M37" s="43"/>
      <c r="N37" s="43">
        <v>0.25</v>
      </c>
      <c r="O37" s="43"/>
      <c r="P37" s="43">
        <v>4</v>
      </c>
      <c r="Q37" s="43"/>
      <c r="R37" s="42"/>
      <c r="S37" s="43"/>
      <c r="T37" s="44"/>
      <c r="U37" s="43"/>
      <c r="V37" s="43"/>
      <c r="W37" s="44"/>
    </row>
    <row r="38" spans="2:23" ht="14.25">
      <c r="B38" s="40"/>
      <c r="C38" s="40"/>
      <c r="D38" s="43" t="s">
        <v>241</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239</v>
      </c>
      <c r="E40" s="20"/>
      <c r="F40" s="20"/>
      <c r="G40" s="20"/>
      <c r="H40" s="20"/>
      <c r="I40" s="20"/>
      <c r="J40" s="20"/>
      <c r="K40" s="20"/>
      <c r="L40" s="20"/>
      <c r="M40" s="20"/>
      <c r="N40" s="20">
        <v>0</v>
      </c>
      <c r="O40" s="20"/>
      <c r="P40" s="20">
        <v>2</v>
      </c>
      <c r="Q40" s="23"/>
      <c r="R40" s="20"/>
      <c r="S40" s="20"/>
      <c r="T40" s="23"/>
      <c r="U40" s="20"/>
      <c r="V40" s="20"/>
      <c r="W40" s="23"/>
    </row>
    <row r="41" spans="2:23" ht="14.25">
      <c r="B41" s="45"/>
      <c r="C41" s="98"/>
      <c r="D41" s="20"/>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240</v>
      </c>
      <c r="E43" s="43"/>
      <c r="F43" s="43"/>
      <c r="G43" s="43"/>
      <c r="H43" s="43"/>
      <c r="I43" s="43"/>
      <c r="J43" s="43"/>
      <c r="K43" s="43"/>
      <c r="L43" s="43"/>
      <c r="M43" s="43"/>
      <c r="N43" s="43">
        <v>0.25</v>
      </c>
      <c r="O43" s="43"/>
      <c r="P43" s="43">
        <v>4</v>
      </c>
      <c r="Q43" s="44"/>
      <c r="R43" s="42"/>
      <c r="S43" s="43"/>
      <c r="T43" s="44"/>
      <c r="U43" s="43"/>
      <c r="V43" s="43"/>
      <c r="W43" s="44"/>
    </row>
    <row r="44" spans="2:23" ht="14.25">
      <c r="B44" s="40"/>
      <c r="C44" s="41"/>
      <c r="D44" s="43" t="s">
        <v>241</v>
      </c>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242</v>
      </c>
      <c r="E46" s="20"/>
      <c r="F46" s="20"/>
      <c r="G46" s="20"/>
      <c r="H46" s="20"/>
      <c r="I46" s="20"/>
      <c r="J46" s="20"/>
      <c r="K46" s="20"/>
      <c r="L46" s="20"/>
      <c r="M46" s="20"/>
      <c r="N46" s="20">
        <v>0.1</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c r="C56" s="41"/>
      <c r="D56" s="42"/>
      <c r="E56" s="43"/>
      <c r="F56" s="43"/>
      <c r="G56" s="43"/>
      <c r="H56" s="43"/>
      <c r="I56" s="43"/>
      <c r="J56" s="43"/>
      <c r="K56" s="43"/>
      <c r="L56" s="43"/>
      <c r="M56" s="43"/>
      <c r="N56" s="43"/>
      <c r="O56" s="43"/>
      <c r="P56" s="43"/>
      <c r="Q56" s="44"/>
      <c r="R56" s="42"/>
      <c r="S56" s="43"/>
      <c r="T56" s="44"/>
      <c r="U56" s="43"/>
      <c r="V56" s="43"/>
      <c r="W56" s="44"/>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4.25">
      <c r="B58" s="45"/>
      <c r="C58" s="46"/>
      <c r="D58" s="19"/>
      <c r="E58" s="20"/>
      <c r="F58" s="20"/>
      <c r="G58" s="20"/>
      <c r="H58" s="20"/>
      <c r="I58" s="20"/>
      <c r="J58" s="20"/>
      <c r="K58" s="20"/>
      <c r="L58" s="20"/>
      <c r="M58" s="20"/>
      <c r="N58" s="20"/>
      <c r="O58" s="20"/>
      <c r="P58" s="20"/>
      <c r="Q58" s="23"/>
      <c r="R58" s="19"/>
      <c r="S58" s="20"/>
      <c r="T58" s="23"/>
      <c r="U58" s="20"/>
      <c r="V58" s="20"/>
      <c r="W58" s="23"/>
    </row>
    <row r="59" spans="2:23" ht="15" thickBot="1">
      <c r="B59" s="47"/>
      <c r="C59" s="48"/>
      <c r="D59" s="28"/>
      <c r="E59" s="29"/>
      <c r="F59" s="29"/>
      <c r="G59" s="29"/>
      <c r="H59" s="29"/>
      <c r="I59" s="29"/>
      <c r="J59" s="29"/>
      <c r="K59" s="29"/>
      <c r="L59" s="29"/>
      <c r="M59" s="49" t="s">
        <v>24</v>
      </c>
      <c r="N59" s="29">
        <f>SUM(N30:N57)</f>
        <v>0.85</v>
      </c>
      <c r="O59" s="29"/>
      <c r="P59" s="29">
        <f>SUM(P30:P57)</f>
        <v>13</v>
      </c>
      <c r="Q59" s="30"/>
      <c r="R59" s="28"/>
      <c r="S59" s="29"/>
      <c r="T59" s="30"/>
      <c r="U59" s="29"/>
      <c r="V59" s="29"/>
      <c r="W59"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AF39"/>
  <sheetViews>
    <sheetView view="pageBreakPreview" zoomScale="60" zoomScalePageLayoutView="0" workbookViewId="0" topLeftCell="A1">
      <selection activeCell="A40" sqref="A40:IV96"/>
    </sheetView>
  </sheetViews>
  <sheetFormatPr defaultColWidth="9.140625" defaultRowHeight="15"/>
  <cols>
    <col min="1" max="1" width="17.28125" style="65" customWidth="1"/>
    <col min="2" max="2" width="4.7109375" style="0" hidden="1" customWidth="1"/>
    <col min="3" max="3" width="7.28125" style="0" hidden="1" customWidth="1"/>
    <col min="4" max="4" width="26.8515625" style="0" customWidth="1"/>
    <col min="5" max="5" width="12.140625" style="0" bestFit="1" customWidth="1"/>
    <col min="7" max="15" width="10.8515625" style="0" customWidth="1"/>
    <col min="23" max="23" width="19.28125" style="0" customWidth="1"/>
  </cols>
  <sheetData>
    <row r="1" spans="6:16" ht="45">
      <c r="F1" s="52" t="s">
        <v>45</v>
      </c>
      <c r="G1" s="53">
        <f aca="true" t="shared" si="0" ref="G1:P1">SUM(G7:G39)</f>
        <v>193</v>
      </c>
      <c r="H1" s="53">
        <f t="shared" si="0"/>
        <v>185.35</v>
      </c>
      <c r="I1" s="53">
        <f t="shared" si="0"/>
        <v>46.75</v>
      </c>
      <c r="J1" s="53">
        <f t="shared" si="0"/>
        <v>128.75</v>
      </c>
      <c r="K1" s="53">
        <f t="shared" si="0"/>
        <v>128.49999999999997</v>
      </c>
      <c r="L1" s="53">
        <f t="shared" si="0"/>
        <v>42.5</v>
      </c>
      <c r="M1" s="53">
        <f t="shared" si="0"/>
        <v>17</v>
      </c>
      <c r="N1" s="53">
        <f t="shared" si="0"/>
        <v>18.6</v>
      </c>
      <c r="O1" s="53">
        <f t="shared" si="0"/>
        <v>9</v>
      </c>
      <c r="P1" s="54">
        <f t="shared" si="0"/>
        <v>553.85</v>
      </c>
    </row>
    <row r="2" spans="6:16" ht="21">
      <c r="F2" s="55"/>
      <c r="G2" s="56"/>
      <c r="H2" s="56"/>
      <c r="I2" s="56"/>
      <c r="J2" s="56"/>
      <c r="K2" s="56"/>
      <c r="L2" s="56"/>
      <c r="M2" s="56"/>
      <c r="N2" s="56"/>
      <c r="O2" s="56"/>
      <c r="P2" s="57"/>
    </row>
    <row r="3" spans="6:19" ht="21" hidden="1">
      <c r="F3" s="58"/>
      <c r="G3" s="59"/>
      <c r="H3" s="59"/>
      <c r="I3" s="59"/>
      <c r="J3" s="59"/>
      <c r="K3" s="59"/>
      <c r="L3" s="59"/>
      <c r="M3" s="59"/>
      <c r="N3" s="59"/>
      <c r="O3" s="59"/>
      <c r="P3" s="60"/>
      <c r="S3" s="61" t="s">
        <v>46</v>
      </c>
    </row>
    <row r="4" spans="19:32" ht="30" hidden="1">
      <c r="S4" t="s">
        <v>47</v>
      </c>
      <c r="T4" t="s">
        <v>48</v>
      </c>
      <c r="U4" t="s">
        <v>49</v>
      </c>
      <c r="V4" t="s">
        <v>50</v>
      </c>
      <c r="W4" t="s">
        <v>51</v>
      </c>
      <c r="X4" t="s">
        <v>52</v>
      </c>
      <c r="Y4" s="62" t="s">
        <v>53</v>
      </c>
      <c r="Z4" t="s">
        <v>54</v>
      </c>
      <c r="AA4" t="s">
        <v>55</v>
      </c>
      <c r="AB4" t="s">
        <v>56</v>
      </c>
      <c r="AC4" s="62" t="s">
        <v>57</v>
      </c>
      <c r="AD4" s="62" t="s">
        <v>58</v>
      </c>
      <c r="AE4" t="s">
        <v>59</v>
      </c>
      <c r="AF4" s="62" t="s">
        <v>60</v>
      </c>
    </row>
    <row r="5" spans="7:32" ht="15" hidden="1">
      <c r="G5">
        <f aca="true" t="shared" si="1" ref="G5:O5">HLOOKUP(G6,$T4:$AF5,2,FALSE)</f>
        <v>1</v>
      </c>
      <c r="H5">
        <f t="shared" si="1"/>
        <v>10</v>
      </c>
      <c r="I5">
        <f t="shared" si="1"/>
        <v>20</v>
      </c>
      <c r="J5">
        <f t="shared" si="1"/>
        <v>30</v>
      </c>
      <c r="K5">
        <f t="shared" si="1"/>
        <v>47</v>
      </c>
      <c r="L5">
        <f t="shared" si="1"/>
        <v>50</v>
      </c>
      <c r="M5">
        <f t="shared" si="1"/>
        <v>60</v>
      </c>
      <c r="N5">
        <f t="shared" si="1"/>
        <v>43</v>
      </c>
      <c r="O5">
        <f t="shared" si="1"/>
        <v>49</v>
      </c>
      <c r="S5" t="s">
        <v>61</v>
      </c>
      <c r="T5">
        <v>1</v>
      </c>
      <c r="U5">
        <v>10</v>
      </c>
      <c r="V5">
        <v>20</v>
      </c>
      <c r="W5">
        <v>30</v>
      </c>
      <c r="X5">
        <v>50</v>
      </c>
      <c r="Y5">
        <v>43</v>
      </c>
      <c r="Z5">
        <v>46</v>
      </c>
      <c r="AA5">
        <v>47</v>
      </c>
      <c r="AB5">
        <v>49</v>
      </c>
      <c r="AC5">
        <v>60</v>
      </c>
      <c r="AD5">
        <v>40</v>
      </c>
      <c r="AE5">
        <v>44</v>
      </c>
      <c r="AF5">
        <v>45</v>
      </c>
    </row>
    <row r="6" spans="1:22" s="63" customFormat="1" ht="60">
      <c r="A6" s="100" t="s">
        <v>62</v>
      </c>
      <c r="B6" s="101"/>
      <c r="C6" s="101"/>
      <c r="D6" s="101" t="s">
        <v>66</v>
      </c>
      <c r="E6" s="102" t="s">
        <v>63</v>
      </c>
      <c r="F6" s="102" t="s">
        <v>64</v>
      </c>
      <c r="G6" s="102" t="s">
        <v>48</v>
      </c>
      <c r="H6" s="102" t="s">
        <v>49</v>
      </c>
      <c r="I6" s="102" t="s">
        <v>50</v>
      </c>
      <c r="J6" s="102" t="s">
        <v>51</v>
      </c>
      <c r="K6" s="102" t="s">
        <v>55</v>
      </c>
      <c r="L6" s="102" t="s">
        <v>52</v>
      </c>
      <c r="M6" s="102" t="s">
        <v>57</v>
      </c>
      <c r="N6" s="102" t="s">
        <v>53</v>
      </c>
      <c r="O6" s="102" t="s">
        <v>56</v>
      </c>
      <c r="P6" s="102" t="s">
        <v>65</v>
      </c>
      <c r="T6" s="64"/>
      <c r="U6" s="64"/>
      <c r="V6" s="64"/>
    </row>
    <row r="7" spans="1:16" ht="26.25">
      <c r="A7" s="103" t="s">
        <v>386</v>
      </c>
      <c r="B7" s="104" t="str">
        <f>IF(ISBLANK(A7),"",RIGHT(A7,LEN(A7)-FIND("/",A7)))</f>
        <v>1</v>
      </c>
      <c r="C7" s="104">
        <f ca="1">MATCH("Total:",INDIRECT("'"&amp;$B7&amp;"'"&amp;"!M:M"),0)</f>
        <v>114</v>
      </c>
      <c r="D7" s="105" t="str">
        <f ca="1">IF(ISBLANK($A7),"",INDIRECT("'"&amp;$B7&amp;"'"&amp;"!D9"))</f>
        <v>114247-00S</v>
      </c>
      <c r="E7" s="106">
        <f ca="1">IF(ISBLANK($A7),"",INDIRECT("'"&amp;$B7&amp;"'"&amp;"!N"&amp;$C7))</f>
        <v>8.7</v>
      </c>
      <c r="F7" s="106">
        <f ca="1">IF(ISBLANK($A7),"",INDIRECT("'"&amp;$B7&amp;"'"&amp;"!P"&amp;$C7))</f>
        <v>218</v>
      </c>
      <c r="G7" s="107">
        <f aca="true" ca="1" t="shared" si="2" ref="G7:O7">IF(ISBLANK($A7),"",SUMIF(INDIRECT("'"&amp;$B7&amp;"'"&amp;"!C:C"),G$5,INDIRECT("'"&amp;$B7&amp;"'"&amp;"!N:N"))+SUMIF(INDIRECT("'"&amp;$B7&amp;"'"&amp;"!C:C"),G$5,INDIRECT("'"&amp;$B7&amp;"'"&amp;"!P:P")))</f>
        <v>0</v>
      </c>
      <c r="H7" s="107">
        <f ca="1" t="shared" si="2"/>
        <v>0</v>
      </c>
      <c r="I7" s="107">
        <f ca="1" t="shared" si="2"/>
        <v>31.25</v>
      </c>
      <c r="J7" s="107">
        <f ca="1" t="shared" si="2"/>
        <v>128.75</v>
      </c>
      <c r="K7" s="107">
        <f ca="1" t="shared" si="2"/>
        <v>67.1</v>
      </c>
      <c r="L7" s="107">
        <f ca="1" t="shared" si="2"/>
        <v>0</v>
      </c>
      <c r="M7" s="107">
        <f ca="1" t="shared" si="2"/>
        <v>2.1</v>
      </c>
      <c r="N7" s="107">
        <f ca="1" t="shared" si="2"/>
        <v>0</v>
      </c>
      <c r="O7" s="107">
        <f ca="1" t="shared" si="2"/>
        <v>5</v>
      </c>
      <c r="P7" s="108">
        <f>IF(ISBLANK($A7),"",SUM(G7:J7))</f>
        <v>160</v>
      </c>
    </row>
    <row r="8" spans="1:16" ht="26.25">
      <c r="A8" s="103" t="s">
        <v>387</v>
      </c>
      <c r="B8" s="104" t="str">
        <f aca="true" t="shared" si="3" ref="B8:B39">IF(ISBLANK(A8),"",RIGHT(A8,LEN(A8)-FIND("/",A8)))</f>
        <v>2</v>
      </c>
      <c r="C8" s="104">
        <f aca="true" ca="1" t="shared" si="4" ref="C8:C39">MATCH("Total:",INDIRECT("'"&amp;$B8&amp;"'"&amp;"!M:M"),0)</f>
        <v>70</v>
      </c>
      <c r="D8" s="105" t="str">
        <f ca="1">IF(ISBLANK($A8),"",INDIRECT("'"&amp;$B8&amp;"'"&amp;"!D9"))</f>
        <v>114248-00WS</v>
      </c>
      <c r="E8" s="106">
        <f aca="true" ca="1" t="shared" si="5" ref="E8:E39">IF(ISBLANK($A8),"",INDIRECT("'"&amp;$B8&amp;"'"&amp;"!N"&amp;$C8))</f>
        <v>4</v>
      </c>
      <c r="F8" s="106">
        <f aca="true" ca="1" t="shared" si="6" ref="F8:F39">IF(ISBLANK($A8),"",INDIRECT("'"&amp;$B8&amp;"'"&amp;"!P"&amp;$C8))</f>
        <v>49.5</v>
      </c>
      <c r="G8" s="107">
        <f aca="true" ca="1" t="shared" si="7" ref="G8:O37">IF(ISBLANK($A8),"",SUMIF(INDIRECT("'"&amp;$B8&amp;"'"&amp;"!C:C"),G$5,INDIRECT("'"&amp;$B8&amp;"'"&amp;"!N:N"))+SUMIF(INDIRECT("'"&amp;$B8&amp;"'"&amp;"!C:C"),G$5,INDIRECT("'"&amp;$B8&amp;"'"&amp;"!P:P")))</f>
        <v>0</v>
      </c>
      <c r="H8" s="107">
        <f ca="1" t="shared" si="7"/>
        <v>41</v>
      </c>
      <c r="I8" s="107">
        <f ca="1" t="shared" si="7"/>
        <v>4.5</v>
      </c>
      <c r="J8" s="107">
        <f ca="1" t="shared" si="7"/>
        <v>0</v>
      </c>
      <c r="K8" s="107">
        <f ca="1" t="shared" si="7"/>
        <v>8</v>
      </c>
      <c r="L8" s="107">
        <f ca="1" t="shared" si="7"/>
        <v>0</v>
      </c>
      <c r="M8" s="107">
        <f ca="1" t="shared" si="7"/>
        <v>0</v>
      </c>
      <c r="N8" s="107">
        <f ca="1" t="shared" si="7"/>
        <v>0</v>
      </c>
      <c r="O8" s="107">
        <f ca="1" t="shared" si="7"/>
        <v>0</v>
      </c>
      <c r="P8" s="108">
        <f aca="true" t="shared" si="8" ref="P8:P36">IF(ISBLANK($A8),"",SUM(G8:J8))</f>
        <v>45.5</v>
      </c>
    </row>
    <row r="9" spans="1:16" ht="26.25">
      <c r="A9" s="103" t="s">
        <v>388</v>
      </c>
      <c r="B9" s="104" t="str">
        <f t="shared" si="3"/>
        <v>3</v>
      </c>
      <c r="C9" s="104">
        <f ca="1" t="shared" si="4"/>
        <v>58</v>
      </c>
      <c r="D9" s="105" t="str">
        <f aca="true" ca="1" t="shared" si="9" ref="D9:D39">IF(ISBLANK($A9),"",INDIRECT("'"&amp;$B9&amp;"'"&amp;"!D9"))</f>
        <v>114249-00S</v>
      </c>
      <c r="E9" s="106">
        <f ca="1" t="shared" si="5"/>
        <v>3.5</v>
      </c>
      <c r="F9" s="106">
        <f ca="1" t="shared" si="6"/>
        <v>14</v>
      </c>
      <c r="G9" s="107">
        <f ca="1" t="shared" si="7"/>
        <v>14.25</v>
      </c>
      <c r="H9" s="107">
        <f ca="1" t="shared" si="7"/>
        <v>0</v>
      </c>
      <c r="I9" s="107">
        <f ca="1" t="shared" si="7"/>
        <v>0</v>
      </c>
      <c r="J9" s="107">
        <f ca="1" t="shared" si="7"/>
        <v>0</v>
      </c>
      <c r="K9" s="107">
        <f ca="1" t="shared" si="7"/>
        <v>1.5</v>
      </c>
      <c r="L9" s="107">
        <f ca="1" t="shared" si="7"/>
        <v>0</v>
      </c>
      <c r="M9" s="107">
        <f ca="1" t="shared" si="7"/>
        <v>1.75</v>
      </c>
      <c r="N9" s="107">
        <f ca="1" t="shared" si="7"/>
        <v>0</v>
      </c>
      <c r="O9" s="107">
        <f ca="1" t="shared" si="7"/>
        <v>0</v>
      </c>
      <c r="P9" s="108">
        <f t="shared" si="8"/>
        <v>14.25</v>
      </c>
    </row>
    <row r="10" spans="1:16" ht="26.25">
      <c r="A10" s="103" t="s">
        <v>389</v>
      </c>
      <c r="B10" s="104" t="str">
        <f t="shared" si="3"/>
        <v>4</v>
      </c>
      <c r="C10" s="104">
        <f ca="1" t="shared" si="4"/>
        <v>57</v>
      </c>
      <c r="D10" s="105" t="str">
        <f ca="1" t="shared" si="9"/>
        <v>114250-00WS</v>
      </c>
      <c r="E10" s="106">
        <f ca="1" t="shared" si="5"/>
        <v>0.85</v>
      </c>
      <c r="F10" s="106">
        <f ca="1" t="shared" si="6"/>
        <v>21</v>
      </c>
      <c r="G10" s="107">
        <f ca="1" t="shared" si="7"/>
        <v>0</v>
      </c>
      <c r="H10" s="107">
        <f ca="1" t="shared" si="7"/>
        <v>18.5</v>
      </c>
      <c r="I10" s="107">
        <f ca="1" t="shared" si="7"/>
        <v>1.25</v>
      </c>
      <c r="J10" s="107">
        <f ca="1" t="shared" si="7"/>
        <v>0</v>
      </c>
      <c r="K10" s="107">
        <f ca="1" t="shared" si="7"/>
        <v>2.1</v>
      </c>
      <c r="L10" s="107">
        <f ca="1" t="shared" si="7"/>
        <v>0</v>
      </c>
      <c r="M10" s="107">
        <f ca="1" t="shared" si="7"/>
        <v>0</v>
      </c>
      <c r="N10" s="107">
        <f ca="1" t="shared" si="7"/>
        <v>0</v>
      </c>
      <c r="O10" s="107">
        <f ca="1" t="shared" si="7"/>
        <v>0</v>
      </c>
      <c r="P10" s="108">
        <f t="shared" si="8"/>
        <v>19.75</v>
      </c>
    </row>
    <row r="11" spans="1:16" ht="26.25">
      <c r="A11" s="103" t="s">
        <v>390</v>
      </c>
      <c r="B11" s="104" t="str">
        <f t="shared" si="3"/>
        <v>5</v>
      </c>
      <c r="C11" s="104">
        <f ca="1" t="shared" si="4"/>
        <v>58</v>
      </c>
      <c r="D11" s="105" t="str">
        <f ca="1" t="shared" si="9"/>
        <v>114204-00S</v>
      </c>
      <c r="E11" s="106">
        <f ca="1" t="shared" si="5"/>
        <v>1</v>
      </c>
      <c r="F11" s="106">
        <f ca="1" t="shared" si="6"/>
        <v>11</v>
      </c>
      <c r="G11" s="107">
        <f ca="1" t="shared" si="7"/>
        <v>1.5</v>
      </c>
      <c r="H11" s="107">
        <f ca="1" t="shared" si="7"/>
        <v>0</v>
      </c>
      <c r="I11" s="107">
        <f ca="1" t="shared" si="7"/>
        <v>0</v>
      </c>
      <c r="J11" s="107">
        <f ca="1" t="shared" si="7"/>
        <v>0</v>
      </c>
      <c r="K11" s="107">
        <f ca="1" t="shared" si="7"/>
        <v>2</v>
      </c>
      <c r="L11" s="107">
        <f ca="1" t="shared" si="7"/>
        <v>8.5</v>
      </c>
      <c r="M11" s="107">
        <f ca="1" t="shared" si="7"/>
        <v>0</v>
      </c>
      <c r="N11" s="107">
        <f ca="1" t="shared" si="7"/>
        <v>0</v>
      </c>
      <c r="O11" s="107">
        <f ca="1" t="shared" si="7"/>
        <v>0</v>
      </c>
      <c r="P11" s="108">
        <f t="shared" si="8"/>
        <v>1.5</v>
      </c>
    </row>
    <row r="12" spans="1:16" ht="26.25">
      <c r="A12" s="103" t="s">
        <v>391</v>
      </c>
      <c r="B12" s="104" t="str">
        <f t="shared" si="3"/>
        <v>6</v>
      </c>
      <c r="C12" s="104">
        <f ca="1" t="shared" si="4"/>
        <v>58</v>
      </c>
      <c r="D12" s="105" t="str">
        <f ca="1" t="shared" si="9"/>
        <v>114205-00S</v>
      </c>
      <c r="E12" s="106">
        <f ca="1" t="shared" si="5"/>
        <v>1</v>
      </c>
      <c r="F12" s="106">
        <f ca="1" t="shared" si="6"/>
        <v>11</v>
      </c>
      <c r="G12" s="107">
        <f ca="1" t="shared" si="7"/>
        <v>1.5</v>
      </c>
      <c r="H12" s="107">
        <f ca="1" t="shared" si="7"/>
        <v>0</v>
      </c>
      <c r="I12" s="107">
        <f ca="1" t="shared" si="7"/>
        <v>0</v>
      </c>
      <c r="J12" s="107">
        <f ca="1" t="shared" si="7"/>
        <v>0</v>
      </c>
      <c r="K12" s="107">
        <f ca="1" t="shared" si="7"/>
        <v>2</v>
      </c>
      <c r="L12" s="107">
        <f ca="1" t="shared" si="7"/>
        <v>8.5</v>
      </c>
      <c r="M12" s="107">
        <f ca="1" t="shared" si="7"/>
        <v>0</v>
      </c>
      <c r="N12" s="107">
        <f ca="1" t="shared" si="7"/>
        <v>0</v>
      </c>
      <c r="O12" s="107">
        <f ca="1" t="shared" si="7"/>
        <v>0</v>
      </c>
      <c r="P12" s="108">
        <f t="shared" si="8"/>
        <v>1.5</v>
      </c>
    </row>
    <row r="13" spans="1:16" ht="26.25">
      <c r="A13" s="103" t="s">
        <v>392</v>
      </c>
      <c r="B13" s="104" t="str">
        <f t="shared" si="3"/>
        <v>7</v>
      </c>
      <c r="C13" s="104">
        <f ca="1" t="shared" si="4"/>
        <v>58</v>
      </c>
      <c r="D13" s="105" t="str">
        <f ca="1" t="shared" si="9"/>
        <v>114206-00S</v>
      </c>
      <c r="E13" s="106">
        <f ca="1" t="shared" si="5"/>
        <v>1</v>
      </c>
      <c r="F13" s="106">
        <f ca="1" t="shared" si="6"/>
        <v>11</v>
      </c>
      <c r="G13" s="107">
        <f ca="1" t="shared" si="7"/>
        <v>1.5</v>
      </c>
      <c r="H13" s="107">
        <f ca="1" t="shared" si="7"/>
        <v>0</v>
      </c>
      <c r="I13" s="107">
        <f ca="1" t="shared" si="7"/>
        <v>0</v>
      </c>
      <c r="J13" s="107">
        <f ca="1" t="shared" si="7"/>
        <v>0</v>
      </c>
      <c r="K13" s="107">
        <f ca="1" t="shared" si="7"/>
        <v>2</v>
      </c>
      <c r="L13" s="107">
        <f ca="1" t="shared" si="7"/>
        <v>8.5</v>
      </c>
      <c r="M13" s="107">
        <f ca="1" t="shared" si="7"/>
        <v>0</v>
      </c>
      <c r="N13" s="107">
        <f ca="1" t="shared" si="7"/>
        <v>0</v>
      </c>
      <c r="O13" s="107">
        <f ca="1" t="shared" si="7"/>
        <v>0</v>
      </c>
      <c r="P13" s="108">
        <f t="shared" si="8"/>
        <v>1.5</v>
      </c>
    </row>
    <row r="14" spans="1:16" ht="26.25">
      <c r="A14" s="103" t="s">
        <v>393</v>
      </c>
      <c r="B14" s="104" t="str">
        <f t="shared" si="3"/>
        <v>8</v>
      </c>
      <c r="C14" s="104">
        <f ca="1" t="shared" si="4"/>
        <v>59</v>
      </c>
      <c r="D14" s="105" t="str">
        <f ca="1" t="shared" si="9"/>
        <v>114207-00WS</v>
      </c>
      <c r="E14" s="106">
        <f ca="1" t="shared" si="5"/>
        <v>0.75</v>
      </c>
      <c r="F14" s="106">
        <f ca="1" t="shared" si="6"/>
        <v>9</v>
      </c>
      <c r="G14" s="107">
        <f ca="1" t="shared" si="7"/>
        <v>0</v>
      </c>
      <c r="H14" s="107">
        <f ca="1" t="shared" si="7"/>
        <v>7.75</v>
      </c>
      <c r="I14" s="107">
        <f ca="1" t="shared" si="7"/>
        <v>0</v>
      </c>
      <c r="J14" s="107">
        <f ca="1" t="shared" si="7"/>
        <v>0</v>
      </c>
      <c r="K14" s="107">
        <f ca="1" t="shared" si="7"/>
        <v>2</v>
      </c>
      <c r="L14" s="107">
        <f ca="1" t="shared" si="7"/>
        <v>0</v>
      </c>
      <c r="M14" s="107">
        <f ca="1" t="shared" si="7"/>
        <v>0</v>
      </c>
      <c r="N14" s="107">
        <f ca="1" t="shared" si="7"/>
        <v>0</v>
      </c>
      <c r="O14" s="107">
        <f ca="1" t="shared" si="7"/>
        <v>0</v>
      </c>
      <c r="P14" s="108">
        <f t="shared" si="8"/>
        <v>7.75</v>
      </c>
    </row>
    <row r="15" spans="1:16" ht="26.25">
      <c r="A15" s="103" t="s">
        <v>394</v>
      </c>
      <c r="B15" s="104" t="str">
        <f t="shared" si="3"/>
        <v>9</v>
      </c>
      <c r="C15" s="104">
        <f ca="1" t="shared" si="4"/>
        <v>57</v>
      </c>
      <c r="D15" s="105" t="str">
        <f ca="1" t="shared" si="9"/>
        <v>114208-00S</v>
      </c>
      <c r="E15" s="106">
        <f ca="1" t="shared" si="5"/>
        <v>1.25</v>
      </c>
      <c r="F15" s="106">
        <f ca="1" t="shared" si="6"/>
        <v>9</v>
      </c>
      <c r="G15" s="107">
        <f ca="1" t="shared" si="7"/>
        <v>8.75</v>
      </c>
      <c r="H15" s="107">
        <f ca="1" t="shared" si="7"/>
        <v>0</v>
      </c>
      <c r="I15" s="107">
        <f ca="1" t="shared" si="7"/>
        <v>0</v>
      </c>
      <c r="J15" s="107">
        <f ca="1" t="shared" si="7"/>
        <v>0</v>
      </c>
      <c r="K15" s="107">
        <f ca="1" t="shared" si="7"/>
        <v>0</v>
      </c>
      <c r="L15" s="107">
        <f ca="1" t="shared" si="7"/>
        <v>0</v>
      </c>
      <c r="M15" s="107">
        <f ca="1" t="shared" si="7"/>
        <v>0</v>
      </c>
      <c r="N15" s="107">
        <f ca="1" t="shared" si="7"/>
        <v>1.5</v>
      </c>
      <c r="O15" s="107">
        <f ca="1" t="shared" si="7"/>
        <v>0</v>
      </c>
      <c r="P15" s="108">
        <f t="shared" si="8"/>
        <v>8.75</v>
      </c>
    </row>
    <row r="16" spans="1:16" ht="26.25">
      <c r="A16" s="103" t="s">
        <v>395</v>
      </c>
      <c r="B16" s="104" t="str">
        <f t="shared" si="3"/>
        <v>10</v>
      </c>
      <c r="C16" s="104">
        <f ca="1" t="shared" si="4"/>
        <v>57</v>
      </c>
      <c r="D16" s="105" t="str">
        <f ca="1" t="shared" si="9"/>
        <v>114209-00S</v>
      </c>
      <c r="E16" s="106">
        <f ca="1" t="shared" si="5"/>
        <v>0.75</v>
      </c>
      <c r="F16" s="106">
        <f ca="1" t="shared" si="6"/>
        <v>6</v>
      </c>
      <c r="G16" s="107">
        <f ca="1" t="shared" si="7"/>
        <v>4.25</v>
      </c>
      <c r="H16" s="107">
        <f ca="1" t="shared" si="7"/>
        <v>0</v>
      </c>
      <c r="I16" s="107">
        <f ca="1" t="shared" si="7"/>
        <v>0</v>
      </c>
      <c r="J16" s="107">
        <f ca="1" t="shared" si="7"/>
        <v>0</v>
      </c>
      <c r="K16" s="107">
        <f ca="1" t="shared" si="7"/>
        <v>0</v>
      </c>
      <c r="L16" s="107">
        <f ca="1" t="shared" si="7"/>
        <v>0</v>
      </c>
      <c r="M16" s="107">
        <f ca="1" t="shared" si="7"/>
        <v>0</v>
      </c>
      <c r="N16" s="107">
        <f ca="1" t="shared" si="7"/>
        <v>2.5</v>
      </c>
      <c r="O16" s="107">
        <f ca="1" t="shared" si="7"/>
        <v>0</v>
      </c>
      <c r="P16" s="108">
        <f t="shared" si="8"/>
        <v>4.25</v>
      </c>
    </row>
    <row r="17" spans="1:16" ht="26.25">
      <c r="A17" s="103" t="s">
        <v>396</v>
      </c>
      <c r="B17" s="104" t="str">
        <f t="shared" si="3"/>
        <v>11</v>
      </c>
      <c r="C17" s="104">
        <f ca="1" t="shared" si="4"/>
        <v>57</v>
      </c>
      <c r="D17" s="105" t="str">
        <f ca="1" t="shared" si="9"/>
        <v>114427-00S</v>
      </c>
      <c r="E17" s="106">
        <f ca="1" t="shared" si="5"/>
        <v>0.5</v>
      </c>
      <c r="F17" s="106">
        <f ca="1" t="shared" si="6"/>
        <v>1</v>
      </c>
      <c r="G17" s="107">
        <f ca="1" t="shared" si="7"/>
        <v>0</v>
      </c>
      <c r="H17" s="107">
        <f ca="1" t="shared" si="7"/>
        <v>0</v>
      </c>
      <c r="I17" s="107">
        <f ca="1" t="shared" si="7"/>
        <v>0</v>
      </c>
      <c r="J17" s="107">
        <f ca="1" t="shared" si="7"/>
        <v>0</v>
      </c>
      <c r="K17" s="107">
        <f ca="1" t="shared" si="7"/>
        <v>0</v>
      </c>
      <c r="L17" s="107">
        <f ca="1" t="shared" si="7"/>
        <v>0</v>
      </c>
      <c r="M17" s="107">
        <f ca="1" t="shared" si="7"/>
        <v>0</v>
      </c>
      <c r="N17" s="107">
        <f ca="1" t="shared" si="7"/>
        <v>1.5</v>
      </c>
      <c r="O17" s="107">
        <f ca="1" t="shared" si="7"/>
        <v>0</v>
      </c>
      <c r="P17" s="108">
        <f t="shared" si="8"/>
        <v>0</v>
      </c>
    </row>
    <row r="18" spans="1:16" ht="26.25">
      <c r="A18" s="103" t="s">
        <v>397</v>
      </c>
      <c r="B18" s="104" t="str">
        <f t="shared" si="3"/>
        <v>12</v>
      </c>
      <c r="C18" s="104">
        <f ca="1" t="shared" si="4"/>
        <v>52</v>
      </c>
      <c r="D18" s="105" t="str">
        <f ca="1" t="shared" si="9"/>
        <v>114251-00S</v>
      </c>
      <c r="E18" s="106">
        <f ca="1" t="shared" si="5"/>
        <v>3.5</v>
      </c>
      <c r="F18" s="106">
        <f ca="1" t="shared" si="6"/>
        <v>14.5</v>
      </c>
      <c r="G18" s="107">
        <f ca="1" t="shared" si="7"/>
        <v>14.25</v>
      </c>
      <c r="H18" s="107">
        <f ca="1" t="shared" si="7"/>
        <v>0</v>
      </c>
      <c r="I18" s="107">
        <f ca="1" t="shared" si="7"/>
        <v>0</v>
      </c>
      <c r="J18" s="107">
        <f ca="1" t="shared" si="7"/>
        <v>0</v>
      </c>
      <c r="K18" s="107">
        <f ca="1" t="shared" si="7"/>
        <v>1.5</v>
      </c>
      <c r="L18" s="107">
        <f ca="1" t="shared" si="7"/>
        <v>0</v>
      </c>
      <c r="M18" s="107">
        <f ca="1" t="shared" si="7"/>
        <v>2.25</v>
      </c>
      <c r="N18" s="107">
        <f ca="1" t="shared" si="7"/>
        <v>0</v>
      </c>
      <c r="O18" s="107">
        <f ca="1" t="shared" si="7"/>
        <v>0</v>
      </c>
      <c r="P18" s="108">
        <f t="shared" si="8"/>
        <v>14.25</v>
      </c>
    </row>
    <row r="19" spans="1:16" ht="26.25">
      <c r="A19" s="103" t="s">
        <v>398</v>
      </c>
      <c r="B19" s="104" t="str">
        <f t="shared" si="3"/>
        <v>13</v>
      </c>
      <c r="C19" s="104">
        <f ca="1" t="shared" si="4"/>
        <v>57</v>
      </c>
      <c r="D19" s="105" t="str">
        <f ca="1" t="shared" si="9"/>
        <v>114252-00WS</v>
      </c>
      <c r="E19" s="106">
        <f ca="1" t="shared" si="5"/>
        <v>0.85</v>
      </c>
      <c r="F19" s="106">
        <f ca="1" t="shared" si="6"/>
        <v>14</v>
      </c>
      <c r="G19" s="107">
        <f ca="1" t="shared" si="7"/>
        <v>0</v>
      </c>
      <c r="H19" s="107">
        <f ca="1" t="shared" si="7"/>
        <v>11.5</v>
      </c>
      <c r="I19" s="107">
        <f ca="1" t="shared" si="7"/>
        <v>1.25</v>
      </c>
      <c r="J19" s="107">
        <f ca="1" t="shared" si="7"/>
        <v>0</v>
      </c>
      <c r="K19" s="107">
        <f ca="1" t="shared" si="7"/>
        <v>2.1</v>
      </c>
      <c r="L19" s="107">
        <f ca="1" t="shared" si="7"/>
        <v>0</v>
      </c>
      <c r="M19" s="107">
        <f ca="1" t="shared" si="7"/>
        <v>0</v>
      </c>
      <c r="N19" s="107">
        <f ca="1" t="shared" si="7"/>
        <v>0</v>
      </c>
      <c r="O19" s="107">
        <f ca="1" t="shared" si="7"/>
        <v>0</v>
      </c>
      <c r="P19" s="108">
        <f t="shared" si="8"/>
        <v>12.75</v>
      </c>
    </row>
    <row r="20" spans="1:16" ht="26.25">
      <c r="A20" s="103" t="s">
        <v>400</v>
      </c>
      <c r="B20" s="104" t="str">
        <f t="shared" si="3"/>
        <v>15</v>
      </c>
      <c r="C20" s="104">
        <f ca="1" t="shared" si="4"/>
        <v>54</v>
      </c>
      <c r="D20" s="105" t="str">
        <f ca="1" t="shared" si="9"/>
        <v>114205-00S</v>
      </c>
      <c r="E20" s="106">
        <f ca="1" t="shared" si="5"/>
        <v>1</v>
      </c>
      <c r="F20" s="106">
        <f ca="1" t="shared" si="6"/>
        <v>11</v>
      </c>
      <c r="G20" s="107">
        <f ca="1" t="shared" si="7"/>
        <v>1.5</v>
      </c>
      <c r="H20" s="107">
        <f ca="1" t="shared" si="7"/>
        <v>0</v>
      </c>
      <c r="I20" s="107">
        <f ca="1" t="shared" si="7"/>
        <v>0</v>
      </c>
      <c r="J20" s="107">
        <f ca="1" t="shared" si="7"/>
        <v>0</v>
      </c>
      <c r="K20" s="107">
        <f ca="1" t="shared" si="7"/>
        <v>2</v>
      </c>
      <c r="L20" s="107">
        <f ca="1" t="shared" si="7"/>
        <v>8.5</v>
      </c>
      <c r="M20" s="107">
        <f ca="1" t="shared" si="7"/>
        <v>0</v>
      </c>
      <c r="N20" s="107">
        <f ca="1" t="shared" si="7"/>
        <v>0</v>
      </c>
      <c r="O20" s="107">
        <f ca="1" t="shared" si="7"/>
        <v>0</v>
      </c>
      <c r="P20" s="108">
        <f t="shared" si="8"/>
        <v>1.5</v>
      </c>
    </row>
    <row r="21" spans="1:16" ht="26.25">
      <c r="A21" s="103" t="s">
        <v>401</v>
      </c>
      <c r="B21" s="104" t="str">
        <f t="shared" si="3"/>
        <v>16</v>
      </c>
      <c r="C21" s="104">
        <f ca="1" t="shared" si="4"/>
        <v>54</v>
      </c>
      <c r="D21" s="105" t="str">
        <f ca="1" t="shared" si="9"/>
        <v>114206-00S</v>
      </c>
      <c r="E21" s="106">
        <f ca="1" t="shared" si="5"/>
        <v>1</v>
      </c>
      <c r="F21" s="106">
        <f ca="1" t="shared" si="6"/>
        <v>11</v>
      </c>
      <c r="G21" s="107">
        <f ca="1" t="shared" si="7"/>
        <v>1.5</v>
      </c>
      <c r="H21" s="107">
        <f ca="1" t="shared" si="7"/>
        <v>0</v>
      </c>
      <c r="I21" s="107">
        <f ca="1" t="shared" si="7"/>
        <v>0</v>
      </c>
      <c r="J21" s="107">
        <f ca="1" t="shared" si="7"/>
        <v>0</v>
      </c>
      <c r="K21" s="107">
        <f ca="1" t="shared" si="7"/>
        <v>2</v>
      </c>
      <c r="L21" s="107">
        <f ca="1" t="shared" si="7"/>
        <v>8.5</v>
      </c>
      <c r="M21" s="107">
        <f ca="1" t="shared" si="7"/>
        <v>0</v>
      </c>
      <c r="N21" s="107">
        <f ca="1" t="shared" si="7"/>
        <v>0</v>
      </c>
      <c r="O21" s="107">
        <f ca="1" t="shared" si="7"/>
        <v>0</v>
      </c>
      <c r="P21" s="108">
        <f t="shared" si="8"/>
        <v>1.5</v>
      </c>
    </row>
    <row r="22" spans="1:16" ht="26.25">
      <c r="A22" s="103" t="s">
        <v>402</v>
      </c>
      <c r="B22" s="104" t="str">
        <f t="shared" si="3"/>
        <v>17</v>
      </c>
      <c r="C22" s="104">
        <f ca="1" t="shared" si="4"/>
        <v>59</v>
      </c>
      <c r="D22" s="105" t="str">
        <f ca="1" t="shared" si="9"/>
        <v>114207-00WS</v>
      </c>
      <c r="E22" s="106">
        <f ca="1" t="shared" si="5"/>
        <v>0.85</v>
      </c>
      <c r="F22" s="106">
        <f ca="1" t="shared" si="6"/>
        <v>13</v>
      </c>
      <c r="G22" s="107">
        <f ca="1" t="shared" si="7"/>
        <v>0</v>
      </c>
      <c r="H22" s="107">
        <f ca="1" t="shared" si="7"/>
        <v>10.75</v>
      </c>
      <c r="I22" s="107">
        <f ca="1" t="shared" si="7"/>
        <v>0</v>
      </c>
      <c r="J22" s="107">
        <f ca="1" t="shared" si="7"/>
        <v>0</v>
      </c>
      <c r="K22" s="107">
        <f ca="1" t="shared" si="7"/>
        <v>3.1</v>
      </c>
      <c r="L22" s="107">
        <f ca="1" t="shared" si="7"/>
        <v>0</v>
      </c>
      <c r="M22" s="107">
        <f ca="1" t="shared" si="7"/>
        <v>0</v>
      </c>
      <c r="N22" s="107">
        <f ca="1" t="shared" si="7"/>
        <v>0</v>
      </c>
      <c r="O22" s="107">
        <f ca="1" t="shared" si="7"/>
        <v>0</v>
      </c>
      <c r="P22" s="108">
        <f t="shared" si="8"/>
        <v>10.75</v>
      </c>
    </row>
    <row r="23" spans="1:16" ht="26.25">
      <c r="A23" s="103" t="s">
        <v>403</v>
      </c>
      <c r="B23" s="104" t="str">
        <f t="shared" si="3"/>
        <v>18</v>
      </c>
      <c r="C23" s="104">
        <f ca="1" t="shared" si="4"/>
        <v>52</v>
      </c>
      <c r="D23" s="105" t="str">
        <f ca="1" t="shared" si="9"/>
        <v>114208-00S</v>
      </c>
      <c r="E23" s="106">
        <f ca="1" t="shared" si="5"/>
        <v>1.25</v>
      </c>
      <c r="F23" s="106">
        <f ca="1" t="shared" si="6"/>
        <v>9</v>
      </c>
      <c r="G23" s="107">
        <f ca="1" t="shared" si="7"/>
        <v>7.75</v>
      </c>
      <c r="H23" s="107">
        <f ca="1" t="shared" si="7"/>
        <v>0</v>
      </c>
      <c r="I23" s="107">
        <f ca="1" t="shared" si="7"/>
        <v>0</v>
      </c>
      <c r="J23" s="107">
        <f ca="1" t="shared" si="7"/>
        <v>0</v>
      </c>
      <c r="K23" s="107">
        <f ca="1" t="shared" si="7"/>
        <v>0</v>
      </c>
      <c r="L23" s="107">
        <f ca="1" t="shared" si="7"/>
        <v>0</v>
      </c>
      <c r="M23" s="107">
        <f ca="1" t="shared" si="7"/>
        <v>0</v>
      </c>
      <c r="N23" s="107">
        <f ca="1" t="shared" si="7"/>
        <v>2.5</v>
      </c>
      <c r="O23" s="107">
        <f aca="true" ca="1" t="shared" si="10" ref="O23:O37">IF(ISBLANK($A23),"",SUMIF(INDIRECT("'"&amp;$B23&amp;"'"&amp;"!C:C"),O$5,INDIRECT("'"&amp;$B23&amp;"'"&amp;"!N:N"))+SUMIF(INDIRECT("'"&amp;$B23&amp;"'"&amp;"!C:C"),O$5,INDIRECT("'"&amp;$B23&amp;"'"&amp;"!P:P")))</f>
        <v>0</v>
      </c>
      <c r="P23" s="108">
        <f t="shared" si="8"/>
        <v>7.75</v>
      </c>
    </row>
    <row r="24" spans="1:16" ht="26.25">
      <c r="A24" s="103" t="s">
        <v>404</v>
      </c>
      <c r="B24" s="104" t="str">
        <f t="shared" si="3"/>
        <v>19</v>
      </c>
      <c r="C24" s="104">
        <f ca="1" t="shared" si="4"/>
        <v>52</v>
      </c>
      <c r="D24" s="105" t="str">
        <f ca="1" t="shared" si="9"/>
        <v>114209-00S</v>
      </c>
      <c r="E24" s="106">
        <f ca="1" t="shared" si="5"/>
        <v>0.75</v>
      </c>
      <c r="F24" s="106">
        <f ca="1" t="shared" si="6"/>
        <v>6</v>
      </c>
      <c r="G24" s="107">
        <f ca="1" t="shared" si="7"/>
        <v>4.25</v>
      </c>
      <c r="H24" s="107">
        <f ca="1" t="shared" si="7"/>
        <v>0</v>
      </c>
      <c r="I24" s="107">
        <f ca="1" t="shared" si="7"/>
        <v>0</v>
      </c>
      <c r="J24" s="107">
        <f ca="1" t="shared" si="7"/>
        <v>0</v>
      </c>
      <c r="K24" s="107">
        <f ca="1" t="shared" si="7"/>
        <v>0</v>
      </c>
      <c r="L24" s="107">
        <f ca="1" t="shared" si="7"/>
        <v>0</v>
      </c>
      <c r="M24" s="107">
        <f ca="1" t="shared" si="7"/>
        <v>0</v>
      </c>
      <c r="N24" s="107">
        <f ca="1" t="shared" si="7"/>
        <v>2.5</v>
      </c>
      <c r="O24" s="107">
        <f ca="1" t="shared" si="10"/>
        <v>0</v>
      </c>
      <c r="P24" s="108">
        <f t="shared" si="8"/>
        <v>4.25</v>
      </c>
    </row>
    <row r="25" spans="1:16" ht="26.25">
      <c r="A25" s="103" t="s">
        <v>405</v>
      </c>
      <c r="B25" s="104" t="str">
        <f t="shared" si="3"/>
        <v>20</v>
      </c>
      <c r="C25" s="104">
        <f ca="1" t="shared" si="4"/>
        <v>52</v>
      </c>
      <c r="D25" s="105" t="str">
        <f ca="1" t="shared" si="9"/>
        <v>114427-00S</v>
      </c>
      <c r="E25" s="106">
        <f ca="1" t="shared" si="5"/>
        <v>0.5</v>
      </c>
      <c r="F25" s="106">
        <f ca="1" t="shared" si="6"/>
        <v>2</v>
      </c>
      <c r="G25" s="107">
        <f ca="1" t="shared" si="7"/>
        <v>0</v>
      </c>
      <c r="H25" s="107">
        <f ca="1" t="shared" si="7"/>
        <v>0</v>
      </c>
      <c r="I25" s="107">
        <f ca="1" t="shared" si="7"/>
        <v>0</v>
      </c>
      <c r="J25" s="107">
        <f ca="1" t="shared" si="7"/>
        <v>0</v>
      </c>
      <c r="K25" s="107">
        <f ca="1" t="shared" si="7"/>
        <v>0</v>
      </c>
      <c r="L25" s="107">
        <f ca="1" t="shared" si="7"/>
        <v>0</v>
      </c>
      <c r="M25" s="107">
        <f ca="1" t="shared" si="7"/>
        <v>0</v>
      </c>
      <c r="N25" s="107">
        <f ca="1" t="shared" si="7"/>
        <v>2.5</v>
      </c>
      <c r="O25" s="107">
        <f ca="1" t="shared" si="10"/>
        <v>0</v>
      </c>
      <c r="P25" s="108">
        <f t="shared" si="8"/>
        <v>0</v>
      </c>
    </row>
    <row r="26" spans="1:16" ht="26.25">
      <c r="A26" s="103" t="s">
        <v>406</v>
      </c>
      <c r="B26" s="104" t="str">
        <f t="shared" si="3"/>
        <v>21</v>
      </c>
      <c r="C26" s="104">
        <f ca="1" t="shared" si="4"/>
        <v>56</v>
      </c>
      <c r="D26" s="105" t="str">
        <f ca="1" t="shared" si="9"/>
        <v>114253-00S</v>
      </c>
      <c r="E26" s="106">
        <f ca="1" t="shared" si="5"/>
        <v>2.6</v>
      </c>
      <c r="F26" s="106">
        <f ca="1" t="shared" si="6"/>
        <v>31.5</v>
      </c>
      <c r="G26" s="107">
        <f ca="1" t="shared" si="7"/>
        <v>31.5</v>
      </c>
      <c r="H26" s="107">
        <f ca="1" t="shared" si="7"/>
        <v>0</v>
      </c>
      <c r="I26" s="107">
        <f ca="1" t="shared" si="7"/>
        <v>0</v>
      </c>
      <c r="J26" s="107">
        <f ca="1" t="shared" si="7"/>
        <v>0</v>
      </c>
      <c r="K26" s="107">
        <f ca="1" t="shared" si="7"/>
        <v>2.5</v>
      </c>
      <c r="L26" s="107">
        <f ca="1" t="shared" si="7"/>
        <v>0</v>
      </c>
      <c r="M26" s="107">
        <f ca="1" t="shared" si="7"/>
        <v>0.1</v>
      </c>
      <c r="N26" s="107">
        <f ca="1" t="shared" si="7"/>
        <v>0</v>
      </c>
      <c r="O26" s="107">
        <f ca="1" t="shared" si="10"/>
        <v>0</v>
      </c>
      <c r="P26" s="108">
        <f t="shared" si="8"/>
        <v>31.5</v>
      </c>
    </row>
    <row r="27" spans="1:16" ht="26.25">
      <c r="A27" s="103" t="s">
        <v>407</v>
      </c>
      <c r="B27" s="104" t="str">
        <f t="shared" si="3"/>
        <v>22</v>
      </c>
      <c r="C27" s="104">
        <f ca="1" t="shared" si="4"/>
        <v>53</v>
      </c>
      <c r="D27" s="105" t="str">
        <f ca="1" t="shared" si="9"/>
        <v>114214-00WS</v>
      </c>
      <c r="E27" s="106">
        <f ca="1" t="shared" si="5"/>
        <v>0.7999999999999999</v>
      </c>
      <c r="F27" s="106">
        <f ca="1" t="shared" si="6"/>
        <v>21.5</v>
      </c>
      <c r="G27" s="107">
        <f ca="1" t="shared" si="7"/>
        <v>0</v>
      </c>
      <c r="H27" s="107">
        <f ca="1" t="shared" si="7"/>
        <v>18.45</v>
      </c>
      <c r="I27" s="107">
        <f ca="1" t="shared" si="7"/>
        <v>0</v>
      </c>
      <c r="J27" s="107">
        <f ca="1" t="shared" si="7"/>
        <v>0</v>
      </c>
      <c r="K27" s="107">
        <f ca="1" t="shared" si="7"/>
        <v>3.85</v>
      </c>
      <c r="L27" s="107">
        <f ca="1" t="shared" si="7"/>
        <v>0</v>
      </c>
      <c r="M27" s="107">
        <f ca="1" t="shared" si="7"/>
        <v>0</v>
      </c>
      <c r="N27" s="107">
        <f ca="1" t="shared" si="7"/>
        <v>0</v>
      </c>
      <c r="O27" s="107">
        <f ca="1" t="shared" si="10"/>
        <v>0</v>
      </c>
      <c r="P27" s="108">
        <f t="shared" si="8"/>
        <v>18.45</v>
      </c>
    </row>
    <row r="28" spans="1:16" ht="26.25">
      <c r="A28" s="103" t="s">
        <v>408</v>
      </c>
      <c r="B28" s="104" t="str">
        <f t="shared" si="3"/>
        <v>23</v>
      </c>
      <c r="C28" s="104">
        <f ca="1" t="shared" si="4"/>
        <v>53</v>
      </c>
      <c r="D28" s="105" t="str">
        <f ca="1" t="shared" si="9"/>
        <v>114215-00S</v>
      </c>
      <c r="E28" s="106">
        <f ca="1" t="shared" si="5"/>
        <v>1</v>
      </c>
      <c r="F28" s="106">
        <f ca="1" t="shared" si="6"/>
        <v>15</v>
      </c>
      <c r="G28" s="107">
        <f ca="1" t="shared" si="7"/>
        <v>11</v>
      </c>
      <c r="H28" s="107">
        <f ca="1" t="shared" si="7"/>
        <v>0</v>
      </c>
      <c r="I28" s="107">
        <f ca="1" t="shared" si="7"/>
        <v>0</v>
      </c>
      <c r="J28" s="107">
        <f ca="1" t="shared" si="7"/>
        <v>0</v>
      </c>
      <c r="K28" s="107">
        <f ca="1" t="shared" si="7"/>
        <v>5</v>
      </c>
      <c r="L28" s="107">
        <f ca="1" t="shared" si="7"/>
        <v>0</v>
      </c>
      <c r="M28" s="107">
        <f ca="1" t="shared" si="7"/>
        <v>0</v>
      </c>
      <c r="N28" s="107">
        <f ca="1" t="shared" si="7"/>
        <v>0</v>
      </c>
      <c r="O28" s="107">
        <f ca="1" t="shared" si="10"/>
        <v>0</v>
      </c>
      <c r="P28" s="108">
        <f t="shared" si="8"/>
        <v>11</v>
      </c>
    </row>
    <row r="29" spans="1:16" ht="26.25">
      <c r="A29" s="103" t="s">
        <v>409</v>
      </c>
      <c r="B29" s="104" t="str">
        <f t="shared" si="3"/>
        <v>24</v>
      </c>
      <c r="C29" s="104">
        <f ca="1" t="shared" si="4"/>
        <v>55</v>
      </c>
      <c r="D29" s="105" t="str">
        <f ca="1" t="shared" si="9"/>
        <v>114255-00WS</v>
      </c>
      <c r="E29" s="106">
        <f ca="1" t="shared" si="5"/>
        <v>1.3000000000000003</v>
      </c>
      <c r="F29" s="106">
        <f ca="1" t="shared" si="6"/>
        <v>24</v>
      </c>
      <c r="G29" s="107">
        <f ca="1" t="shared" si="7"/>
        <v>0</v>
      </c>
      <c r="H29" s="107">
        <f ca="1" t="shared" si="7"/>
        <v>22.1</v>
      </c>
      <c r="I29" s="107">
        <f ca="1" t="shared" si="7"/>
        <v>0</v>
      </c>
      <c r="J29" s="107">
        <f ca="1" t="shared" si="7"/>
        <v>0</v>
      </c>
      <c r="K29" s="107">
        <f ca="1" t="shared" si="7"/>
        <v>3.2</v>
      </c>
      <c r="L29" s="107">
        <f ca="1" t="shared" si="7"/>
        <v>0</v>
      </c>
      <c r="M29" s="107">
        <f ca="1" t="shared" si="7"/>
        <v>0</v>
      </c>
      <c r="N29" s="107">
        <f ca="1" t="shared" si="7"/>
        <v>0</v>
      </c>
      <c r="O29" s="107">
        <f ca="1" t="shared" si="10"/>
        <v>0</v>
      </c>
      <c r="P29" s="108">
        <f t="shared" si="8"/>
        <v>22.1</v>
      </c>
    </row>
    <row r="30" spans="1:16" ht="26.25">
      <c r="A30" s="103" t="s">
        <v>410</v>
      </c>
      <c r="B30" s="104" t="str">
        <f t="shared" si="3"/>
        <v>25</v>
      </c>
      <c r="C30" s="104">
        <f ca="1" t="shared" si="4"/>
        <v>51</v>
      </c>
      <c r="D30" s="105" t="str">
        <f ca="1" t="shared" si="9"/>
        <v>114223-04S</v>
      </c>
      <c r="E30" s="106">
        <f ca="1" t="shared" si="5"/>
        <v>2</v>
      </c>
      <c r="F30" s="106">
        <f ca="1" t="shared" si="6"/>
        <v>17.6</v>
      </c>
      <c r="G30" s="107">
        <f ca="1" t="shared" si="7"/>
        <v>18</v>
      </c>
      <c r="H30" s="107">
        <f ca="1" t="shared" si="7"/>
        <v>0</v>
      </c>
      <c r="I30" s="107">
        <f ca="1" t="shared" si="7"/>
        <v>0</v>
      </c>
      <c r="J30" s="107">
        <f ca="1" t="shared" si="7"/>
        <v>0</v>
      </c>
      <c r="K30" s="107">
        <f ca="1" t="shared" si="7"/>
        <v>1</v>
      </c>
      <c r="L30" s="107">
        <f ca="1" t="shared" si="7"/>
        <v>0</v>
      </c>
      <c r="M30" s="107">
        <f ca="1" t="shared" si="7"/>
        <v>0.6</v>
      </c>
      <c r="N30" s="107">
        <f ca="1" t="shared" si="7"/>
        <v>0</v>
      </c>
      <c r="O30" s="107">
        <f ca="1" t="shared" si="10"/>
        <v>0</v>
      </c>
      <c r="P30" s="108">
        <f t="shared" si="8"/>
        <v>18</v>
      </c>
    </row>
    <row r="31" spans="1:16" ht="26.25">
      <c r="A31" s="103" t="s">
        <v>411</v>
      </c>
      <c r="B31" s="104" t="str">
        <f t="shared" si="3"/>
        <v>26</v>
      </c>
      <c r="C31" s="104">
        <f ca="1" t="shared" si="4"/>
        <v>51</v>
      </c>
      <c r="D31" s="105" t="str">
        <f ca="1" t="shared" si="9"/>
        <v>114224-00S</v>
      </c>
      <c r="E31" s="106">
        <f ca="1" t="shared" si="5"/>
        <v>0.6</v>
      </c>
      <c r="F31" s="106">
        <f ca="1" t="shared" si="6"/>
        <v>22.5</v>
      </c>
      <c r="G31" s="107">
        <f ca="1" t="shared" si="7"/>
        <v>8.25</v>
      </c>
      <c r="H31" s="107">
        <f ca="1" t="shared" si="7"/>
        <v>0</v>
      </c>
      <c r="I31" s="107">
        <f ca="1" t="shared" si="7"/>
        <v>0</v>
      </c>
      <c r="J31" s="107">
        <f ca="1" t="shared" si="7"/>
        <v>0</v>
      </c>
      <c r="K31" s="107">
        <f ca="1" t="shared" si="7"/>
        <v>2</v>
      </c>
      <c r="L31" s="107">
        <f ca="1" t="shared" si="7"/>
        <v>0</v>
      </c>
      <c r="M31" s="107">
        <f ca="1" t="shared" si="7"/>
        <v>8.85</v>
      </c>
      <c r="N31" s="107">
        <f ca="1" t="shared" si="7"/>
        <v>0</v>
      </c>
      <c r="O31" s="107">
        <f ca="1" t="shared" si="10"/>
        <v>4</v>
      </c>
      <c r="P31" s="108">
        <f t="shared" si="8"/>
        <v>8.25</v>
      </c>
    </row>
    <row r="32" spans="1:16" ht="26.25">
      <c r="A32" s="103" t="s">
        <v>412</v>
      </c>
      <c r="B32" s="104" t="str">
        <f t="shared" si="3"/>
        <v>27</v>
      </c>
      <c r="C32" s="104">
        <f ca="1" t="shared" si="4"/>
        <v>52</v>
      </c>
      <c r="D32" s="105" t="str">
        <f ca="1" t="shared" si="9"/>
        <v>114258-00S</v>
      </c>
      <c r="E32" s="106">
        <f ca="1" t="shared" si="5"/>
        <v>2.6</v>
      </c>
      <c r="F32" s="106">
        <f ca="1" t="shared" si="6"/>
        <v>33.7</v>
      </c>
      <c r="G32" s="107">
        <f ca="1" t="shared" si="7"/>
        <v>34.5</v>
      </c>
      <c r="H32" s="107">
        <f ca="1" t="shared" si="7"/>
        <v>0</v>
      </c>
      <c r="I32" s="107">
        <f ca="1" t="shared" si="7"/>
        <v>0</v>
      </c>
      <c r="J32" s="107">
        <f ca="1" t="shared" si="7"/>
        <v>0</v>
      </c>
      <c r="K32" s="107">
        <f ca="1" t="shared" si="7"/>
        <v>1.25</v>
      </c>
      <c r="L32" s="107">
        <f ca="1" t="shared" si="7"/>
        <v>0</v>
      </c>
      <c r="M32" s="107">
        <f ca="1" t="shared" si="7"/>
        <v>0.55</v>
      </c>
      <c r="N32" s="107">
        <f ca="1" t="shared" si="7"/>
        <v>0</v>
      </c>
      <c r="O32" s="107">
        <f ca="1" t="shared" si="10"/>
        <v>0</v>
      </c>
      <c r="P32" s="108">
        <f t="shared" si="8"/>
        <v>34.5</v>
      </c>
    </row>
    <row r="33" spans="1:16" ht="26.25">
      <c r="A33" s="103" t="s">
        <v>413</v>
      </c>
      <c r="B33" s="104" t="str">
        <f t="shared" si="3"/>
        <v>28</v>
      </c>
      <c r="C33" s="104">
        <f ca="1" t="shared" si="4"/>
        <v>53</v>
      </c>
      <c r="D33" s="105" t="str">
        <f ca="1" t="shared" si="9"/>
        <v>114260-00WS</v>
      </c>
      <c r="E33" s="106">
        <f ca="1" t="shared" si="5"/>
        <v>0.7</v>
      </c>
      <c r="F33" s="106">
        <f ca="1" t="shared" si="6"/>
        <v>32</v>
      </c>
      <c r="G33" s="107">
        <f ca="1" t="shared" si="7"/>
        <v>0</v>
      </c>
      <c r="H33" s="107">
        <f ca="1" t="shared" si="7"/>
        <v>24.35</v>
      </c>
      <c r="I33" s="107">
        <f ca="1" t="shared" si="7"/>
        <v>0</v>
      </c>
      <c r="J33" s="107">
        <f ca="1" t="shared" si="7"/>
        <v>0</v>
      </c>
      <c r="K33" s="107">
        <f ca="1" t="shared" si="7"/>
        <v>8.35</v>
      </c>
      <c r="L33" s="107">
        <f ca="1" t="shared" si="7"/>
        <v>0</v>
      </c>
      <c r="M33" s="107">
        <f ca="1" t="shared" si="7"/>
        <v>0</v>
      </c>
      <c r="N33" s="107">
        <f ca="1" t="shared" si="7"/>
        <v>0</v>
      </c>
      <c r="O33" s="107">
        <f ca="1" t="shared" si="10"/>
        <v>0</v>
      </c>
      <c r="P33" s="108">
        <f t="shared" si="8"/>
        <v>24.35</v>
      </c>
    </row>
    <row r="34" spans="1:16" ht="26.25">
      <c r="A34" s="103" t="s">
        <v>415</v>
      </c>
      <c r="B34" s="104" t="str">
        <f t="shared" si="3"/>
        <v>29</v>
      </c>
      <c r="C34" s="104">
        <f ca="1" t="shared" si="4"/>
        <v>53</v>
      </c>
      <c r="D34" s="105" t="str">
        <f ca="1" t="shared" si="9"/>
        <v>114261-00WS</v>
      </c>
      <c r="E34" s="106">
        <f ca="1" t="shared" si="5"/>
        <v>0.7</v>
      </c>
      <c r="F34" s="106">
        <f ca="1" t="shared" si="6"/>
        <v>7.5</v>
      </c>
      <c r="G34" s="107">
        <f ca="1" t="shared" si="7"/>
        <v>0</v>
      </c>
      <c r="H34" s="107">
        <f ca="1" t="shared" si="7"/>
        <v>6.45</v>
      </c>
      <c r="I34" s="107">
        <f ca="1" t="shared" si="7"/>
        <v>0</v>
      </c>
      <c r="J34" s="107">
        <f ca="1" t="shared" si="7"/>
        <v>0</v>
      </c>
      <c r="K34" s="107">
        <f ca="1" t="shared" si="7"/>
        <v>1.75</v>
      </c>
      <c r="L34" s="107">
        <f ca="1" t="shared" si="7"/>
        <v>0</v>
      </c>
      <c r="M34" s="107">
        <f ca="1" t="shared" si="7"/>
        <v>0</v>
      </c>
      <c r="N34" s="107">
        <f ca="1" t="shared" si="7"/>
        <v>0</v>
      </c>
      <c r="O34" s="107">
        <f ca="1" t="shared" si="10"/>
        <v>0</v>
      </c>
      <c r="P34" s="108">
        <f t="shared" si="8"/>
        <v>6.45</v>
      </c>
    </row>
    <row r="35" spans="1:16" ht="26.25">
      <c r="A35" s="103" t="s">
        <v>416</v>
      </c>
      <c r="B35" s="104" t="str">
        <f t="shared" si="3"/>
        <v>30</v>
      </c>
      <c r="C35" s="104">
        <f ca="1" t="shared" si="4"/>
        <v>51</v>
      </c>
      <c r="D35" s="105" t="str">
        <f ca="1" t="shared" si="9"/>
        <v>114378-00S</v>
      </c>
      <c r="E35" s="106">
        <f ca="1" t="shared" si="5"/>
        <v>0.1</v>
      </c>
      <c r="F35" s="106">
        <f ca="1" t="shared" si="6"/>
        <v>1</v>
      </c>
      <c r="G35" s="107">
        <f ca="1" t="shared" si="7"/>
        <v>0</v>
      </c>
      <c r="H35" s="107">
        <f ca="1" t="shared" si="7"/>
        <v>0</v>
      </c>
      <c r="I35" s="107">
        <f ca="1" t="shared" si="7"/>
        <v>0</v>
      </c>
      <c r="J35" s="107">
        <f ca="1" t="shared" si="7"/>
        <v>0</v>
      </c>
      <c r="K35" s="107">
        <f ca="1" t="shared" si="7"/>
        <v>0</v>
      </c>
      <c r="L35" s="107">
        <f ca="1" t="shared" si="7"/>
        <v>0</v>
      </c>
      <c r="M35" s="107">
        <f ca="1" t="shared" si="7"/>
        <v>0</v>
      </c>
      <c r="N35" s="107">
        <f ca="1" t="shared" si="7"/>
        <v>1.1</v>
      </c>
      <c r="O35" s="107">
        <f ca="1" t="shared" si="10"/>
        <v>0</v>
      </c>
      <c r="P35" s="108">
        <f t="shared" si="8"/>
        <v>0</v>
      </c>
    </row>
    <row r="36" spans="1:16" ht="26.25">
      <c r="A36" s="103" t="s">
        <v>417</v>
      </c>
      <c r="B36" s="104" t="str">
        <f t="shared" si="3"/>
        <v>31</v>
      </c>
      <c r="C36" s="104">
        <f ca="1" t="shared" si="4"/>
        <v>57</v>
      </c>
      <c r="D36" s="105" t="str">
        <f ca="1" t="shared" si="9"/>
        <v>114386-00WM</v>
      </c>
      <c r="E36" s="106">
        <f ca="1" t="shared" si="5"/>
        <v>1.4</v>
      </c>
      <c r="F36" s="106">
        <f ca="1" t="shared" si="6"/>
        <v>34.6</v>
      </c>
      <c r="G36" s="107">
        <f ca="1" t="shared" si="7"/>
        <v>0</v>
      </c>
      <c r="H36" s="107">
        <f ca="1" t="shared" si="7"/>
        <v>24.5</v>
      </c>
      <c r="I36" s="107">
        <f ca="1" t="shared" si="7"/>
        <v>8.5</v>
      </c>
      <c r="J36" s="107">
        <f ca="1" t="shared" si="7"/>
        <v>0</v>
      </c>
      <c r="K36" s="107">
        <f ca="1" t="shared" si="7"/>
        <v>2.2</v>
      </c>
      <c r="L36" s="107">
        <f ca="1" t="shared" si="7"/>
        <v>0</v>
      </c>
      <c r="M36" s="107">
        <f ca="1" t="shared" si="7"/>
        <v>0.8</v>
      </c>
      <c r="N36" s="107">
        <f ca="1" t="shared" si="7"/>
        <v>0</v>
      </c>
      <c r="O36" s="107">
        <f ca="1" t="shared" si="10"/>
        <v>0</v>
      </c>
      <c r="P36" s="108">
        <f t="shared" si="8"/>
        <v>33</v>
      </c>
    </row>
    <row r="37" spans="1:16" ht="26.25">
      <c r="A37" s="103" t="s">
        <v>418</v>
      </c>
      <c r="B37" s="104" t="str">
        <f t="shared" si="3"/>
        <v>32</v>
      </c>
      <c r="C37" s="104">
        <f ca="1" t="shared" si="4"/>
        <v>52</v>
      </c>
      <c r="D37" s="105" t="str">
        <f ca="1" t="shared" si="9"/>
        <v>114238-00M</v>
      </c>
      <c r="E37" s="106">
        <f ca="1" t="shared" si="5"/>
        <v>1.25</v>
      </c>
      <c r="F37" s="106">
        <f ca="1" t="shared" si="6"/>
        <v>20</v>
      </c>
      <c r="G37" s="107">
        <f ca="1" t="shared" si="7"/>
        <v>16.75</v>
      </c>
      <c r="H37" s="107">
        <f ca="1" t="shared" si="7"/>
        <v>0</v>
      </c>
      <c r="I37" s="107">
        <f ca="1" t="shared" si="7"/>
        <v>0</v>
      </c>
      <c r="J37" s="107">
        <f ca="1" t="shared" si="7"/>
        <v>0</v>
      </c>
      <c r="K37" s="107">
        <f ca="1" t="shared" si="7"/>
        <v>0</v>
      </c>
      <c r="L37" s="107">
        <f ca="1" t="shared" si="7"/>
        <v>0</v>
      </c>
      <c r="M37" s="107">
        <f ca="1" t="shared" si="7"/>
        <v>0</v>
      </c>
      <c r="N37" s="107">
        <f ca="1" t="shared" si="7"/>
        <v>4.5</v>
      </c>
      <c r="O37" s="107">
        <f ca="1" t="shared" si="10"/>
        <v>0</v>
      </c>
      <c r="P37" s="108">
        <f>IF(ISBLANK($A37),"",SUM(G37:J37))</f>
        <v>16.75</v>
      </c>
    </row>
    <row r="38" spans="1:16" ht="26.25">
      <c r="A38" s="103" t="s">
        <v>419</v>
      </c>
      <c r="B38" s="104" t="str">
        <f t="shared" si="3"/>
        <v>33</v>
      </c>
      <c r="C38" s="104">
        <f ca="1" t="shared" si="4"/>
        <v>52</v>
      </c>
      <c r="D38" s="105" t="str">
        <f ca="1" t="shared" si="9"/>
        <v>114246-00M</v>
      </c>
      <c r="E38" s="106">
        <f ca="1" t="shared" si="5"/>
        <v>0.25</v>
      </c>
      <c r="F38" s="106">
        <f ca="1" t="shared" si="6"/>
        <v>4</v>
      </c>
      <c r="G38" s="107">
        <f aca="true" ca="1" t="shared" si="11" ref="G38:O39">IF(ISBLANK($A38),"",SUMIF(INDIRECT("'"&amp;$B38&amp;"'"&amp;"!C:C"),G$5,INDIRECT("'"&amp;$B38&amp;"'"&amp;"!N:N"))+SUMIF(INDIRECT("'"&amp;$B38&amp;"'"&amp;"!C:C"),G$5,INDIRECT("'"&amp;$B38&amp;"'"&amp;"!P:P")))</f>
        <v>0</v>
      </c>
      <c r="H38" s="107">
        <f ca="1" t="shared" si="11"/>
        <v>0</v>
      </c>
      <c r="I38" s="107">
        <f ca="1" t="shared" si="11"/>
        <v>0</v>
      </c>
      <c r="J38" s="107">
        <f ca="1" t="shared" si="11"/>
        <v>0</v>
      </c>
      <c r="K38" s="107">
        <f ca="1" t="shared" si="11"/>
        <v>0</v>
      </c>
      <c r="L38" s="107">
        <f ca="1" t="shared" si="11"/>
        <v>0</v>
      </c>
      <c r="M38" s="107">
        <f ca="1" t="shared" si="11"/>
        <v>0</v>
      </c>
      <c r="N38" s="107">
        <f ca="1" t="shared" si="11"/>
        <v>0</v>
      </c>
      <c r="O38" s="107">
        <f ca="1" t="shared" si="11"/>
        <v>0</v>
      </c>
      <c r="P38" s="108">
        <f>IF(ISBLANK($A38),"",SUM(G38:J38))</f>
        <v>0</v>
      </c>
    </row>
    <row r="39" spans="1:16" ht="26.25">
      <c r="A39" s="103" t="s">
        <v>420</v>
      </c>
      <c r="B39" s="104" t="str">
        <f t="shared" si="3"/>
        <v>34</v>
      </c>
      <c r="C39" s="104">
        <f ca="1" t="shared" si="4"/>
        <v>52</v>
      </c>
      <c r="D39" s="105" t="str">
        <f ca="1" t="shared" si="9"/>
        <v>114244-00M</v>
      </c>
      <c r="E39" s="106">
        <f ca="1" t="shared" si="5"/>
        <v>2</v>
      </c>
      <c r="F39" s="106">
        <f ca="1" t="shared" si="6"/>
        <v>10</v>
      </c>
      <c r="G39" s="107">
        <f ca="1" t="shared" si="11"/>
        <v>12</v>
      </c>
      <c r="H39" s="107">
        <f ca="1" t="shared" si="11"/>
        <v>0</v>
      </c>
      <c r="I39" s="107">
        <f ca="1" t="shared" si="11"/>
        <v>0</v>
      </c>
      <c r="J39" s="107">
        <f ca="1" t="shared" si="11"/>
        <v>0</v>
      </c>
      <c r="K39" s="107">
        <f ca="1" t="shared" si="11"/>
        <v>0</v>
      </c>
      <c r="L39" s="107">
        <f ca="1" t="shared" si="11"/>
        <v>0</v>
      </c>
      <c r="M39" s="107">
        <f ca="1" t="shared" si="11"/>
        <v>0</v>
      </c>
      <c r="N39" s="107">
        <f ca="1" t="shared" si="11"/>
        <v>0</v>
      </c>
      <c r="O39" s="107">
        <f ca="1" t="shared" si="11"/>
        <v>0</v>
      </c>
      <c r="P39" s="108">
        <f>IF(ISBLANK($A39),"",SUM(G39:J39))</f>
        <v>12</v>
      </c>
    </row>
  </sheetData>
  <sheetProtection insertColumns="0" insertRows="0" deleteColumns="0" deleteRows="0" sort="0"/>
  <dataValidations count="1">
    <dataValidation type="list" allowBlank="1" showInputMessage="1" showErrorMessage="1" sqref="G6:O6">
      <formula1>$T$4:$AF$4</formula1>
    </dataValidation>
  </dataValidations>
  <printOptions horizontalCentered="1"/>
  <pageMargins left="0.7" right="0.7" top="0.75" bottom="0.75" header="0.3" footer="0.3"/>
  <pageSetup horizontalDpi="600" verticalDpi="600" orientation="landscape" scale="71"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114208-00S</v>
      </c>
      <c r="E9" s="20"/>
      <c r="F9" s="20"/>
      <c r="G9" s="20"/>
      <c r="H9" s="20"/>
      <c r="I9" s="20"/>
      <c r="J9" s="20"/>
      <c r="K9" s="20"/>
      <c r="L9" s="20"/>
      <c r="M9" s="20"/>
      <c r="N9" s="24" t="s">
        <v>2</v>
      </c>
      <c r="O9" s="20"/>
      <c r="P9" s="130"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TOP,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114208-00S</v>
      </c>
      <c r="H19" s="13" t="str">
        <f>D11</f>
        <v>PLATE, TOP, BRACKET, MC STAND</v>
      </c>
      <c r="Q19" s="13" t="s">
        <v>536</v>
      </c>
    </row>
    <row r="20" spans="2:17" ht="14.25">
      <c r="B20" s="31"/>
      <c r="C20" s="32"/>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.50 THK, 5.25 WD, 5.25 LG</v>
      </c>
      <c r="Q26" s="50">
        <f>INDEX(BOM!M:M,MATCH($P$3,BOM!$P:$P,0)+1,1)</f>
        <v>8</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233</v>
      </c>
      <c r="E33" s="20"/>
      <c r="F33" s="20"/>
      <c r="G33" s="20"/>
      <c r="H33" s="20"/>
      <c r="I33" s="20"/>
      <c r="J33" s="20"/>
      <c r="K33" s="20"/>
      <c r="L33" s="20"/>
      <c r="M33" s="20"/>
      <c r="N33" s="20">
        <v>0.5</v>
      </c>
      <c r="O33" s="20"/>
      <c r="P33" s="20">
        <v>2</v>
      </c>
      <c r="Q33" s="23"/>
      <c r="R33" s="19"/>
      <c r="S33" s="20"/>
      <c r="T33" s="23"/>
      <c r="U33" s="20"/>
      <c r="V33" s="20"/>
      <c r="W33" s="23"/>
    </row>
    <row r="34" spans="2:23" ht="14.25">
      <c r="B34" s="45"/>
      <c r="C34" s="46"/>
      <c r="D34" s="19" t="s">
        <v>232</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235</v>
      </c>
      <c r="E36" s="43"/>
      <c r="F36" s="43"/>
      <c r="G36" s="43"/>
      <c r="H36" s="43"/>
      <c r="I36" s="43"/>
      <c r="J36" s="43"/>
      <c r="K36" s="43"/>
      <c r="L36" s="43"/>
      <c r="M36" s="43"/>
      <c r="N36" s="43">
        <v>0.5</v>
      </c>
      <c r="O36" s="43"/>
      <c r="P36" s="43">
        <v>4</v>
      </c>
      <c r="Q36" s="44"/>
      <c r="R36" s="42"/>
      <c r="S36" s="43"/>
      <c r="T36" s="44"/>
      <c r="U36" s="43"/>
      <c r="V36" s="43"/>
      <c r="W36" s="44"/>
    </row>
    <row r="37" spans="2:23" ht="14.25">
      <c r="B37" s="40"/>
      <c r="C37" s="41"/>
      <c r="D37" s="42" t="s">
        <v>232</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236</v>
      </c>
      <c r="E39" s="20"/>
      <c r="F39" s="20"/>
      <c r="G39" s="20"/>
      <c r="H39" s="20"/>
      <c r="I39" s="20"/>
      <c r="J39" s="20"/>
      <c r="K39" s="20"/>
      <c r="L39" s="20"/>
      <c r="M39" s="20"/>
      <c r="N39" s="20">
        <v>0.25</v>
      </c>
      <c r="O39" s="20"/>
      <c r="P39" s="20">
        <v>3</v>
      </c>
      <c r="Q39" s="23"/>
      <c r="R39" s="19"/>
      <c r="S39" s="20"/>
      <c r="T39" s="23"/>
      <c r="U39" s="20"/>
      <c r="V39" s="20"/>
      <c r="W39" s="23"/>
    </row>
    <row r="40" spans="2:23" ht="14.25">
      <c r="B40" s="45"/>
      <c r="C40" s="46"/>
      <c r="D40" s="19" t="s">
        <v>232</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60</v>
      </c>
      <c r="D42" s="42" t="s">
        <v>67</v>
      </c>
      <c r="E42" s="43"/>
      <c r="F42" s="43"/>
      <c r="G42" s="43"/>
      <c r="H42" s="43"/>
      <c r="I42" s="43"/>
      <c r="J42" s="43"/>
      <c r="K42" s="43"/>
      <c r="L42" s="43"/>
      <c r="M42" s="43"/>
      <c r="N42" s="43">
        <v>0</v>
      </c>
      <c r="O42" s="43"/>
      <c r="P42" s="43">
        <v>0</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1.25</v>
      </c>
      <c r="O52" s="29"/>
      <c r="P52" s="29">
        <f>SUM(P29:P50)</f>
        <v>9</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114209-00S</v>
      </c>
      <c r="E9" s="20"/>
      <c r="F9" s="20"/>
      <c r="G9" s="20"/>
      <c r="H9" s="20"/>
      <c r="I9" s="20"/>
      <c r="J9" s="20"/>
      <c r="K9" s="20"/>
      <c r="L9" s="20"/>
      <c r="M9" s="20"/>
      <c r="N9" s="24" t="s">
        <v>2</v>
      </c>
      <c r="O9" s="20"/>
      <c r="P9" s="130" t="str">
        <f>INDEX(BOM!O:O,MATCH($P$3,BOM!$P:$P,0),1)</f>
        <v>12/3/10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SIDE, BRACKET, MC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114209-00S</v>
      </c>
      <c r="H19" s="13" t="str">
        <f>D11</f>
        <v>PLATE, SIDE, BRACKET, MC STAND</v>
      </c>
      <c r="Q19" s="13" t="s">
        <v>536</v>
      </c>
    </row>
    <row r="20" spans="2:17" ht="14.25">
      <c r="B20" s="31"/>
      <c r="C20" s="32"/>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.50 THK, 5.25 WD, 5.75 LG</v>
      </c>
      <c r="Q26" s="50">
        <f>INDEX(BOM!M:M,MATCH($P$3,BOM!$P:$P,0)+1,1)</f>
        <v>8</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233</v>
      </c>
      <c r="E33" s="20"/>
      <c r="F33" s="20"/>
      <c r="G33" s="20"/>
      <c r="H33" s="20"/>
      <c r="I33" s="20"/>
      <c r="J33" s="20"/>
      <c r="K33" s="20"/>
      <c r="L33" s="20"/>
      <c r="M33" s="20"/>
      <c r="N33" s="20">
        <v>0.5</v>
      </c>
      <c r="O33" s="20"/>
      <c r="P33" s="20">
        <v>2</v>
      </c>
      <c r="Q33" s="23"/>
      <c r="R33" s="19"/>
      <c r="S33" s="20"/>
      <c r="T33" s="23"/>
      <c r="U33" s="20"/>
      <c r="V33" s="20"/>
      <c r="W33" s="23"/>
    </row>
    <row r="34" spans="2:23" ht="14.25">
      <c r="B34" s="45"/>
      <c r="C34" s="46"/>
      <c r="D34" s="19" t="s">
        <v>232</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234</v>
      </c>
      <c r="E36" s="43"/>
      <c r="F36" s="43"/>
      <c r="G36" s="43"/>
      <c r="H36" s="43"/>
      <c r="I36" s="43"/>
      <c r="J36" s="43"/>
      <c r="K36" s="43"/>
      <c r="L36" s="43"/>
      <c r="M36" s="43"/>
      <c r="N36" s="43">
        <v>0.25</v>
      </c>
      <c r="O36" s="43"/>
      <c r="P36" s="43">
        <v>4</v>
      </c>
      <c r="Q36" s="44"/>
      <c r="R36" s="42"/>
      <c r="S36" s="43"/>
      <c r="T36" s="44"/>
      <c r="U36" s="43"/>
      <c r="V36" s="43"/>
      <c r="W36" s="44"/>
    </row>
    <row r="37" spans="2:23" ht="14.25">
      <c r="B37" s="40"/>
      <c r="C37" s="41"/>
      <c r="D37" s="42" t="s">
        <v>232</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60</v>
      </c>
      <c r="D39" s="19" t="s">
        <v>67</v>
      </c>
      <c r="E39" s="20"/>
      <c r="F39" s="20"/>
      <c r="G39" s="20"/>
      <c r="H39" s="20"/>
      <c r="I39" s="20"/>
      <c r="J39" s="20"/>
      <c r="K39" s="20"/>
      <c r="L39" s="20"/>
      <c r="M39" s="20"/>
      <c r="N39" s="20">
        <v>0</v>
      </c>
      <c r="O39" s="20"/>
      <c r="P39" s="20">
        <v>0</v>
      </c>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0.75</v>
      </c>
      <c r="O52" s="29"/>
      <c r="P52" s="29">
        <f>SUM(P29:P50)</f>
        <v>6</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P34" sqref="P3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405</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114427-00S</v>
      </c>
      <c r="E9" s="20"/>
      <c r="F9" s="20"/>
      <c r="G9" s="20"/>
      <c r="H9" s="20"/>
      <c r="I9" s="20"/>
      <c r="J9" s="20"/>
      <c r="K9" s="20"/>
      <c r="L9" s="20"/>
      <c r="M9" s="20"/>
      <c r="N9" s="24" t="s">
        <v>2</v>
      </c>
      <c r="O9" s="20"/>
      <c r="P9" s="130"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BRACKET, BRACE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114427-00S</v>
      </c>
      <c r="H19" s="13" t="str">
        <f>D11</f>
        <v>PLATE, BRACKET, BRACE</v>
      </c>
      <c r="Q19" s="13" t="s">
        <v>536</v>
      </c>
    </row>
    <row r="20" spans="2:17" ht="14.25">
      <c r="B20" s="31"/>
      <c r="C20" s="32"/>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.50 THK, 5.25 WD, 5.25 LG</v>
      </c>
      <c r="N26" s="50" t="str">
        <f>INDEX(BOM!N:N,MATCH($P$3,BOM!$P:$P,0)+1,1)</f>
        <v>AISI 304/AISI 304L DUAL CERTIFIED PER ASME SPEC SA-240</v>
      </c>
      <c r="Q26" s="50">
        <f>INDEX(BOM!M:M,MATCH($P$3,BOM!$P:$P,0)+1,1)</f>
        <v>8</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231</v>
      </c>
      <c r="E33" s="20"/>
      <c r="F33" s="20"/>
      <c r="G33" s="20"/>
      <c r="H33" s="20"/>
      <c r="I33" s="20"/>
      <c r="J33" s="20"/>
      <c r="K33" s="20"/>
      <c r="L33" s="20"/>
      <c r="M33" s="20"/>
      <c r="N33" s="20">
        <v>0.5</v>
      </c>
      <c r="O33" s="20"/>
      <c r="P33" s="20">
        <v>2</v>
      </c>
      <c r="Q33" s="23"/>
      <c r="R33" s="19"/>
      <c r="S33" s="20"/>
      <c r="T33" s="23"/>
      <c r="U33" s="20"/>
      <c r="V33" s="20"/>
      <c r="W33" s="23"/>
    </row>
    <row r="34" spans="2:23" ht="15">
      <c r="B34" s="45"/>
      <c r="C34" s="46"/>
      <c r="D34" s="19" t="s">
        <v>529</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60</v>
      </c>
      <c r="D36" s="42" t="s">
        <v>67</v>
      </c>
      <c r="E36" s="43"/>
      <c r="F36" s="43"/>
      <c r="G36" s="43"/>
      <c r="H36" s="43"/>
      <c r="I36" s="43"/>
      <c r="J36" s="43"/>
      <c r="K36" s="43"/>
      <c r="L36" s="43"/>
      <c r="M36" s="43"/>
      <c r="N36" s="43">
        <v>0</v>
      </c>
      <c r="O36" s="43"/>
      <c r="P36" s="43">
        <v>0</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0.5</v>
      </c>
      <c r="O52" s="29"/>
      <c r="P52" s="29">
        <f>SUM(P29:P50)</f>
        <v>2</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B2:W56"/>
  <sheetViews>
    <sheetView workbookViewId="0" topLeftCell="A19">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114253-00S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FLANGE, 84"ID, FLAT FACED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114253-00S</v>
      </c>
      <c r="H19" s="13" t="str">
        <f>D11</f>
        <v>FLANGE, 84"ID, FLAT FACED</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INDEX(BOM!I:I,MATCH($P$3,BOM!$P:$P,0)+1,1)</f>
        <v>114254-00S</v>
      </c>
      <c r="H25" s="50" t="str">
        <f>INDEX(BOM!J:J,MATCH($P$3,BOM!$P:$P,0)+1,1)</f>
        <v>FORGING, FLANGE, 84" ID, 92.25 OD, 1.38 THK</v>
      </c>
      <c r="Q25" s="50">
        <f>INDEX(BOM!M:M,MATCH($P$3,BOM!$P:$P,0)+1,1)</f>
        <v>4</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47</v>
      </c>
      <c r="D29" s="42" t="s">
        <v>228</v>
      </c>
      <c r="E29" s="43"/>
      <c r="F29" s="43"/>
      <c r="G29" s="43"/>
      <c r="H29" s="43"/>
      <c r="I29" s="43"/>
      <c r="J29" s="43"/>
      <c r="K29" s="43"/>
      <c r="L29" s="43"/>
      <c r="M29" s="43"/>
      <c r="N29" s="43">
        <v>0</v>
      </c>
      <c r="O29" s="43"/>
      <c r="P29" s="43">
        <v>0.5</v>
      </c>
      <c r="Q29" s="44"/>
      <c r="R29" s="42"/>
      <c r="S29" s="43"/>
      <c r="T29" s="44"/>
      <c r="U29" s="43"/>
      <c r="V29" s="43"/>
      <c r="W29" s="44"/>
    </row>
    <row r="30" spans="2:23" ht="14.25">
      <c r="B30" s="40"/>
      <c r="C30" s="41"/>
      <c r="D30" s="42" t="s">
        <v>170</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60</v>
      </c>
      <c r="D32" s="19" t="s">
        <v>171</v>
      </c>
      <c r="E32" s="20"/>
      <c r="F32" s="20"/>
      <c r="G32" s="20"/>
      <c r="H32" s="20"/>
      <c r="I32" s="20"/>
      <c r="J32" s="20"/>
      <c r="K32" s="20"/>
      <c r="L32" s="20"/>
      <c r="M32" s="20"/>
      <c r="N32" s="20">
        <v>0</v>
      </c>
      <c r="O32" s="20"/>
      <c r="P32" s="20">
        <v>0</v>
      </c>
      <c r="Q32" s="23"/>
      <c r="R32" s="19"/>
      <c r="S32" s="20"/>
      <c r="T32" s="23"/>
      <c r="U32" s="20"/>
      <c r="V32" s="20"/>
      <c r="W32" s="23"/>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0"/>
      <c r="C34" s="41"/>
      <c r="D34" s="42" t="s">
        <v>172</v>
      </c>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173</v>
      </c>
      <c r="E35" s="43"/>
      <c r="F35" s="43"/>
      <c r="G35" s="43"/>
      <c r="H35" s="43"/>
      <c r="I35" s="43"/>
      <c r="J35" s="43"/>
      <c r="K35" s="43"/>
      <c r="L35" s="43"/>
      <c r="M35" s="43"/>
      <c r="N35" s="43">
        <v>0.75</v>
      </c>
      <c r="O35" s="43"/>
      <c r="P35" s="43">
        <v>1</v>
      </c>
      <c r="Q35" s="44"/>
      <c r="R35" s="42"/>
      <c r="S35" s="43"/>
      <c r="T35" s="44"/>
      <c r="U35" s="43"/>
      <c r="V35" s="43"/>
      <c r="W35" s="44"/>
    </row>
    <row r="36" spans="2:23" ht="15">
      <c r="B36" s="40"/>
      <c r="C36" s="41"/>
      <c r="D36" s="42" t="s">
        <v>174</v>
      </c>
      <c r="E36" s="43"/>
      <c r="F36" s="43"/>
      <c r="G36" s="43"/>
      <c r="H36" s="43"/>
      <c r="I36" s="43"/>
      <c r="J36" s="43"/>
      <c r="K36" s="43"/>
      <c r="L36" s="43"/>
      <c r="M36" s="43"/>
      <c r="N36" s="43"/>
      <c r="O36" s="43"/>
      <c r="P36" s="43"/>
      <c r="Q36" s="44"/>
      <c r="R36" s="42"/>
      <c r="S36" s="43"/>
      <c r="T36" s="44"/>
      <c r="U36" s="43"/>
      <c r="V36" s="43"/>
      <c r="W36" s="44"/>
    </row>
    <row r="37" spans="2:23" ht="14.25">
      <c r="B37" s="45"/>
      <c r="C37" s="45"/>
      <c r="D37" s="13" t="s">
        <v>175</v>
      </c>
      <c r="E37" s="20"/>
      <c r="F37" s="20"/>
      <c r="G37" s="20"/>
      <c r="H37" s="20"/>
      <c r="I37" s="20"/>
      <c r="J37" s="20"/>
      <c r="K37" s="20"/>
      <c r="L37" s="20"/>
      <c r="M37" s="20"/>
      <c r="N37" s="20"/>
      <c r="O37" s="20"/>
      <c r="P37" s="20"/>
      <c r="Q37" s="23"/>
      <c r="R37" s="19"/>
      <c r="S37" s="20"/>
      <c r="T37" s="23"/>
      <c r="U37" s="20"/>
      <c r="V37" s="20"/>
      <c r="W37" s="23"/>
    </row>
    <row r="38" spans="2:23" ht="14.25">
      <c r="B38" s="45">
        <v>40</v>
      </c>
      <c r="C38" s="45">
        <v>1</v>
      </c>
      <c r="D38" s="19" t="s">
        <v>229</v>
      </c>
      <c r="N38" s="13">
        <v>0.5</v>
      </c>
      <c r="P38" s="13">
        <v>4</v>
      </c>
      <c r="Q38" s="23"/>
      <c r="R38" s="19"/>
      <c r="S38" s="20"/>
      <c r="T38" s="23"/>
      <c r="U38" s="20"/>
      <c r="V38" s="20"/>
      <c r="W38" s="23"/>
    </row>
    <row r="39" spans="2:23" ht="15">
      <c r="B39" s="45"/>
      <c r="C39" s="46"/>
      <c r="D39" s="99" t="s">
        <v>174</v>
      </c>
      <c r="E39" s="20"/>
      <c r="F39" s="20"/>
      <c r="G39" s="20"/>
      <c r="H39" s="20"/>
      <c r="I39" s="20"/>
      <c r="J39" s="20"/>
      <c r="K39" s="20"/>
      <c r="L39" s="20"/>
      <c r="M39" s="20"/>
      <c r="N39" s="20"/>
      <c r="O39" s="20"/>
      <c r="P39" s="20"/>
      <c r="Q39" s="23"/>
      <c r="R39" s="19"/>
      <c r="S39" s="20"/>
      <c r="T39" s="23"/>
      <c r="U39" s="20"/>
      <c r="V39" s="20"/>
      <c r="W39" s="23"/>
    </row>
    <row r="40" spans="2:23" ht="14.25">
      <c r="B40" s="45"/>
      <c r="C40" s="46"/>
      <c r="D40" s="19" t="s">
        <v>179</v>
      </c>
      <c r="E40" s="20"/>
      <c r="F40" s="20"/>
      <c r="G40" s="20"/>
      <c r="H40" s="20"/>
      <c r="I40" s="20"/>
      <c r="J40" s="20"/>
      <c r="K40" s="20"/>
      <c r="L40" s="20"/>
      <c r="M40" s="20"/>
      <c r="N40" s="20"/>
      <c r="O40" s="20"/>
      <c r="P40" s="20"/>
      <c r="Q40" s="23"/>
      <c r="R40" s="19"/>
      <c r="S40" s="20"/>
      <c r="T40" s="23"/>
      <c r="U40" s="20"/>
      <c r="V40" s="20"/>
      <c r="W40" s="23"/>
    </row>
    <row r="41" spans="2:23" ht="14.25">
      <c r="B41" s="45">
        <v>80</v>
      </c>
      <c r="C41" s="46">
        <v>1</v>
      </c>
      <c r="D41" s="19" t="s">
        <v>180</v>
      </c>
      <c r="E41" s="20"/>
      <c r="F41" s="20"/>
      <c r="G41" s="20"/>
      <c r="H41" s="20"/>
      <c r="I41" s="20"/>
      <c r="J41" s="20"/>
      <c r="K41" s="20"/>
      <c r="L41" s="20"/>
      <c r="M41" s="20"/>
      <c r="N41" s="20">
        <v>0.5</v>
      </c>
      <c r="O41" s="20"/>
      <c r="P41" s="20">
        <v>12</v>
      </c>
      <c r="Q41" s="23"/>
      <c r="R41" s="19"/>
      <c r="S41" s="20"/>
      <c r="T41" s="23"/>
      <c r="U41" s="20"/>
      <c r="V41" s="20"/>
      <c r="W41" s="23"/>
    </row>
    <row r="42" spans="2:23" ht="14.25">
      <c r="B42" s="45"/>
      <c r="C42" s="46"/>
      <c r="D42" s="19" t="s">
        <v>181</v>
      </c>
      <c r="E42" s="20"/>
      <c r="F42" s="20"/>
      <c r="G42" s="20"/>
      <c r="H42" s="20"/>
      <c r="I42" s="20"/>
      <c r="J42" s="20"/>
      <c r="K42" s="20"/>
      <c r="L42" s="20"/>
      <c r="M42" s="20"/>
      <c r="N42" s="20"/>
      <c r="O42" s="20"/>
      <c r="P42" s="20"/>
      <c r="Q42" s="23"/>
      <c r="R42" s="19"/>
      <c r="S42" s="20"/>
      <c r="T42" s="23"/>
      <c r="U42" s="20"/>
      <c r="V42" s="20"/>
      <c r="W42" s="23"/>
    </row>
    <row r="43" spans="2:23" ht="14.25">
      <c r="B43" s="45"/>
      <c r="C43" s="19"/>
      <c r="D43" s="19" t="s">
        <v>182</v>
      </c>
      <c r="E43" s="20"/>
      <c r="F43" s="20"/>
      <c r="G43" s="20"/>
      <c r="H43" s="20"/>
      <c r="I43" s="20"/>
      <c r="J43" s="20"/>
      <c r="K43" s="20"/>
      <c r="L43" s="20"/>
      <c r="M43" s="20"/>
      <c r="N43" s="20"/>
      <c r="O43" s="20"/>
      <c r="P43" s="20"/>
      <c r="Q43" s="23"/>
      <c r="R43" s="19"/>
      <c r="S43" s="20"/>
      <c r="T43" s="23"/>
      <c r="U43" s="20"/>
      <c r="V43" s="20"/>
      <c r="W43" s="23"/>
    </row>
    <row r="44" spans="2:23" ht="15">
      <c r="B44" s="45"/>
      <c r="C44" s="19"/>
      <c r="D44" s="19" t="s">
        <v>174</v>
      </c>
      <c r="E44" s="20"/>
      <c r="F44" s="20"/>
      <c r="G44" s="20"/>
      <c r="H44" s="20"/>
      <c r="I44" s="20"/>
      <c r="J44" s="20"/>
      <c r="K44" s="20"/>
      <c r="L44" s="20"/>
      <c r="M44" s="20"/>
      <c r="N44" s="20"/>
      <c r="O44" s="20"/>
      <c r="P44" s="20"/>
      <c r="Q44" s="23"/>
      <c r="R44" s="19"/>
      <c r="S44" s="20"/>
      <c r="T44" s="23"/>
      <c r="U44" s="20"/>
      <c r="V44" s="20"/>
      <c r="W44" s="23"/>
    </row>
    <row r="45" spans="2:23" ht="14.25">
      <c r="B45" s="40"/>
      <c r="C45" s="41"/>
      <c r="D45" s="42"/>
      <c r="E45" s="43"/>
      <c r="F45" s="43"/>
      <c r="G45" s="43"/>
      <c r="H45" s="43"/>
      <c r="I45" s="43"/>
      <c r="J45" s="43"/>
      <c r="K45" s="43"/>
      <c r="L45" s="43"/>
      <c r="M45" s="43"/>
      <c r="N45" s="43"/>
      <c r="O45" s="43"/>
      <c r="P45" s="43"/>
      <c r="Q45" s="44"/>
      <c r="R45" s="42"/>
      <c r="S45" s="43"/>
      <c r="T45" s="44"/>
      <c r="U45" s="43"/>
      <c r="V45" s="43"/>
      <c r="W45" s="44"/>
    </row>
    <row r="46" spans="2:23" ht="14.25">
      <c r="B46" s="40">
        <v>50</v>
      </c>
      <c r="C46" s="41">
        <v>60</v>
      </c>
      <c r="D46" s="42" t="s">
        <v>177</v>
      </c>
      <c r="E46" s="43"/>
      <c r="F46" s="43"/>
      <c r="G46" s="43"/>
      <c r="H46" s="43"/>
      <c r="I46" s="43"/>
      <c r="J46" s="43"/>
      <c r="K46" s="43"/>
      <c r="L46" s="43"/>
      <c r="M46" s="43"/>
      <c r="N46" s="43">
        <v>0.1</v>
      </c>
      <c r="O46" s="43"/>
      <c r="P46" s="43">
        <v>0</v>
      </c>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5"/>
      <c r="C48" s="46"/>
      <c r="D48" s="19"/>
      <c r="E48" s="20"/>
      <c r="F48" s="20"/>
      <c r="G48" s="20"/>
      <c r="H48" s="20"/>
      <c r="I48" s="20"/>
      <c r="J48" s="20"/>
      <c r="K48" s="20"/>
      <c r="L48" s="20"/>
      <c r="M48" s="20"/>
      <c r="N48" s="20"/>
      <c r="O48" s="20"/>
      <c r="P48" s="20"/>
      <c r="Q48" s="23"/>
      <c r="R48" s="19"/>
      <c r="S48" s="20"/>
      <c r="T48" s="23"/>
      <c r="U48" s="20"/>
      <c r="V48" s="20"/>
      <c r="W48" s="23"/>
    </row>
    <row r="49" spans="2:23" ht="14.25">
      <c r="B49" s="45">
        <v>60</v>
      </c>
      <c r="C49" s="46">
        <v>1</v>
      </c>
      <c r="D49" s="19" t="s">
        <v>178</v>
      </c>
      <c r="E49" s="20"/>
      <c r="F49" s="20"/>
      <c r="G49" s="20"/>
      <c r="H49" s="20"/>
      <c r="I49" s="20"/>
      <c r="J49" s="20"/>
      <c r="K49" s="20"/>
      <c r="L49" s="20"/>
      <c r="M49" s="20"/>
      <c r="N49" s="20">
        <v>0.75</v>
      </c>
      <c r="O49" s="20"/>
      <c r="P49" s="20">
        <v>12</v>
      </c>
      <c r="Q49" s="23"/>
      <c r="R49" s="19"/>
      <c r="S49" s="20"/>
      <c r="T49" s="23"/>
      <c r="U49" s="20"/>
      <c r="V49" s="20"/>
      <c r="W49" s="23"/>
    </row>
    <row r="50" spans="2:23" ht="15">
      <c r="B50" s="45"/>
      <c r="C50" s="46"/>
      <c r="D50" s="99" t="s">
        <v>174</v>
      </c>
      <c r="E50" s="20"/>
      <c r="F50" s="20"/>
      <c r="G50" s="20"/>
      <c r="H50" s="20"/>
      <c r="I50" s="20"/>
      <c r="J50" s="20"/>
      <c r="K50" s="20"/>
      <c r="L50" s="20"/>
      <c r="M50" s="20"/>
      <c r="N50" s="20"/>
      <c r="O50" s="20"/>
      <c r="P50" s="20"/>
      <c r="Q50" s="23"/>
      <c r="R50" s="19"/>
      <c r="S50" s="20"/>
      <c r="T50" s="23"/>
      <c r="U50" s="20"/>
      <c r="V50" s="20"/>
      <c r="W50" s="23"/>
    </row>
    <row r="51" spans="2:23" ht="14.25">
      <c r="B51" s="40"/>
      <c r="C51" s="41"/>
      <c r="D51" s="42"/>
      <c r="E51" s="43"/>
      <c r="F51" s="43"/>
      <c r="G51" s="43"/>
      <c r="H51" s="43"/>
      <c r="I51" s="43"/>
      <c r="J51" s="43"/>
      <c r="K51" s="43"/>
      <c r="L51" s="43"/>
      <c r="M51" s="43"/>
      <c r="N51" s="43"/>
      <c r="O51" s="43"/>
      <c r="P51" s="43"/>
      <c r="Q51" s="44"/>
      <c r="R51" s="42"/>
      <c r="S51" s="43"/>
      <c r="T51" s="44"/>
      <c r="U51" s="43"/>
      <c r="V51" s="43"/>
      <c r="W51" s="44"/>
    </row>
    <row r="52" spans="2:23" ht="14.25">
      <c r="B52" s="40">
        <v>90</v>
      </c>
      <c r="C52" s="41">
        <v>47</v>
      </c>
      <c r="D52" s="42" t="s">
        <v>183</v>
      </c>
      <c r="E52" s="43"/>
      <c r="F52" s="43"/>
      <c r="G52" s="43"/>
      <c r="H52" s="43"/>
      <c r="I52" s="43"/>
      <c r="J52" s="43"/>
      <c r="K52" s="43"/>
      <c r="L52" s="43"/>
      <c r="M52" s="43"/>
      <c r="N52" s="43">
        <v>0</v>
      </c>
      <c r="O52" s="43"/>
      <c r="P52" s="43">
        <v>2</v>
      </c>
      <c r="Q52" s="44"/>
      <c r="R52" s="42"/>
      <c r="S52" s="43"/>
      <c r="T52" s="44"/>
      <c r="U52" s="43"/>
      <c r="V52" s="43"/>
      <c r="W52" s="44"/>
    </row>
    <row r="53" spans="2:23" ht="14.25">
      <c r="B53" s="40"/>
      <c r="C53" s="41"/>
      <c r="D53" s="42" t="s">
        <v>184</v>
      </c>
      <c r="E53" s="43"/>
      <c r="F53" s="43"/>
      <c r="G53" s="43"/>
      <c r="H53" s="43"/>
      <c r="I53" s="43"/>
      <c r="J53" s="43"/>
      <c r="K53" s="43"/>
      <c r="L53" s="43"/>
      <c r="M53" s="43"/>
      <c r="N53" s="43"/>
      <c r="O53" s="43"/>
      <c r="P53" s="43"/>
      <c r="Q53" s="44"/>
      <c r="R53" s="42"/>
      <c r="S53" s="43"/>
      <c r="T53" s="44"/>
      <c r="U53" s="43"/>
      <c r="V53" s="43"/>
      <c r="W53" s="44"/>
    </row>
    <row r="54" spans="2:23" ht="14.25">
      <c r="B54" s="45"/>
      <c r="C54" s="46"/>
      <c r="D54" s="19"/>
      <c r="E54" s="20"/>
      <c r="F54" s="20"/>
      <c r="G54" s="20"/>
      <c r="H54" s="20"/>
      <c r="I54" s="20"/>
      <c r="J54" s="20"/>
      <c r="K54" s="20"/>
      <c r="L54" s="20"/>
      <c r="M54" s="20"/>
      <c r="N54" s="20"/>
      <c r="O54" s="20"/>
      <c r="P54" s="20"/>
      <c r="Q54" s="23"/>
      <c r="R54" s="19"/>
      <c r="S54" s="20"/>
      <c r="T54" s="23"/>
      <c r="U54" s="20"/>
      <c r="V54" s="20"/>
      <c r="W54" s="23"/>
    </row>
    <row r="55" spans="2:23" ht="14.25">
      <c r="B55" s="45">
        <v>100</v>
      </c>
      <c r="C55" s="46">
        <v>60</v>
      </c>
      <c r="D55" s="19" t="s">
        <v>67</v>
      </c>
      <c r="E55" s="20"/>
      <c r="F55" s="20"/>
      <c r="G55" s="20"/>
      <c r="H55" s="20"/>
      <c r="I55" s="20"/>
      <c r="J55" s="20"/>
      <c r="K55" s="20"/>
      <c r="L55" s="20"/>
      <c r="M55" s="20"/>
      <c r="N55" s="20">
        <v>0</v>
      </c>
      <c r="O55" s="20"/>
      <c r="P55" s="20">
        <v>0</v>
      </c>
      <c r="Q55" s="23"/>
      <c r="R55" s="19"/>
      <c r="S55" s="20"/>
      <c r="T55" s="23"/>
      <c r="U55" s="20"/>
      <c r="V55" s="20"/>
      <c r="W55" s="23"/>
    </row>
    <row r="56" spans="2:23" ht="15" thickBot="1">
      <c r="B56" s="47"/>
      <c r="C56" s="48"/>
      <c r="D56" s="28"/>
      <c r="E56" s="29"/>
      <c r="F56" s="29"/>
      <c r="G56" s="29"/>
      <c r="H56" s="29"/>
      <c r="I56" s="29"/>
      <c r="J56" s="29"/>
      <c r="K56" s="29"/>
      <c r="L56" s="29"/>
      <c r="M56" s="49" t="s">
        <v>24</v>
      </c>
      <c r="N56" s="29">
        <f>SUM(N29:N55)</f>
        <v>2.6</v>
      </c>
      <c r="O56" s="29"/>
      <c r="P56" s="29">
        <f>SUM(P29:P55)</f>
        <v>31.5</v>
      </c>
      <c r="Q56" s="30"/>
      <c r="R56" s="28"/>
      <c r="S56" s="29"/>
      <c r="T56" s="30"/>
      <c r="U56" s="29"/>
      <c r="V56" s="29"/>
      <c r="W56"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9"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003906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114214-00WS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PORT, 12" OD CONFLAT, NR, THRU HOLES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20</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114214-00WS</v>
      </c>
      <c r="H19" s="13" t="str">
        <f>D11</f>
        <v>PORT, 12" OD CONFLAT, NR, THRU HOLES</v>
      </c>
      <c r="Q19" s="13" t="s">
        <v>145</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114215-00S</v>
      </c>
      <c r="H26" s="50" t="str">
        <f>INDEX(BOM!J:J,MATCH($P$3,BOM!$P:$P,0)+1,1)</f>
        <v>TUBE, PORT, 12" CF</v>
      </c>
      <c r="Q26" s="50">
        <f>INDEX(BOM!M:M,MATCH($P$3,BOM!$P:$P,0)+1,1)</f>
        <v>20</v>
      </c>
    </row>
    <row r="27" spans="2:17" ht="14.25">
      <c r="B27" s="31"/>
      <c r="C27" s="50" t="str">
        <f>INDEX(BOM!I:I,MATCH($P$3,BOM!$P:$P,0)+3,1)</f>
        <v>1200-1000N</v>
      </c>
      <c r="H27" s="50" t="str">
        <f>INDEX(BOM!J:J,MATCH($P$3,BOM!$P:$P,0)+3,1)</f>
        <v>(NORCAL) FLANGE, CONFLAT, 12" OD, NON-ROTATABLE, THRU HOLES</v>
      </c>
      <c r="Q27" s="50">
        <f>INDEX(BOM!M:M,MATCH($P$3,BOM!$P:$P,0)+3,1)</f>
        <v>20</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209</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210</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203</v>
      </c>
      <c r="E34" s="20"/>
      <c r="F34" s="20"/>
      <c r="G34" s="20"/>
      <c r="H34" s="20"/>
      <c r="I34" s="20"/>
      <c r="J34" s="20"/>
      <c r="K34" s="20"/>
      <c r="L34" s="20"/>
      <c r="M34" s="20"/>
      <c r="N34" s="20">
        <v>0.1</v>
      </c>
      <c r="O34" s="20"/>
      <c r="P34" s="20">
        <v>3</v>
      </c>
      <c r="R34" s="19"/>
      <c r="S34" s="20"/>
      <c r="T34" s="23"/>
      <c r="U34" s="20"/>
      <c r="V34" s="20"/>
      <c r="W34" s="23"/>
    </row>
    <row r="35" spans="2:23" ht="14.25">
      <c r="B35" s="45"/>
      <c r="C35" s="46"/>
      <c r="D35" s="19" t="s">
        <v>204</v>
      </c>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226</v>
      </c>
      <c r="E37" s="43"/>
      <c r="F37" s="43"/>
      <c r="G37" s="43"/>
      <c r="H37" s="43"/>
      <c r="I37" s="43"/>
      <c r="J37" s="43"/>
      <c r="K37" s="43"/>
      <c r="L37" s="43"/>
      <c r="M37" s="43"/>
      <c r="N37" s="43">
        <v>0.25</v>
      </c>
      <c r="O37" s="43"/>
      <c r="P37" s="43">
        <v>5</v>
      </c>
      <c r="Q37" s="43"/>
      <c r="R37" s="42"/>
      <c r="S37" s="43"/>
      <c r="T37" s="44"/>
      <c r="U37" s="43"/>
      <c r="V37" s="43"/>
      <c r="W37" s="44"/>
    </row>
    <row r="38" spans="2:23" ht="14.25">
      <c r="B38" s="40"/>
      <c r="C38" s="40"/>
      <c r="D38" s="43" t="s">
        <v>227</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163</v>
      </c>
      <c r="E40" s="20"/>
      <c r="F40" s="20"/>
      <c r="G40" s="20"/>
      <c r="H40" s="20"/>
      <c r="I40" s="20"/>
      <c r="J40" s="20"/>
      <c r="K40" s="20"/>
      <c r="L40" s="20"/>
      <c r="M40" s="20"/>
      <c r="N40" s="20">
        <v>0.25</v>
      </c>
      <c r="O40" s="20"/>
      <c r="P40" s="20">
        <v>2.5</v>
      </c>
      <c r="Q40" s="23"/>
      <c r="R40" s="20"/>
      <c r="S40" s="20"/>
      <c r="T40" s="23"/>
      <c r="U40" s="20"/>
      <c r="V40" s="20"/>
      <c r="W40" s="23"/>
    </row>
    <row r="41" spans="2:23" ht="14.25">
      <c r="B41" s="45"/>
      <c r="C41" s="98"/>
      <c r="D41" s="20" t="s">
        <v>164</v>
      </c>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202</v>
      </c>
      <c r="E43" s="43"/>
      <c r="F43" s="43"/>
      <c r="G43" s="43"/>
      <c r="H43" s="43"/>
      <c r="I43" s="43"/>
      <c r="J43" s="43"/>
      <c r="K43" s="43"/>
      <c r="L43" s="43"/>
      <c r="M43" s="43"/>
      <c r="N43" s="43">
        <v>0.1</v>
      </c>
      <c r="O43" s="43"/>
      <c r="P43" s="43">
        <v>10</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201</v>
      </c>
      <c r="E46" s="20"/>
      <c r="F46" s="20"/>
      <c r="G46" s="20"/>
      <c r="H46" s="20"/>
      <c r="I46" s="20"/>
      <c r="J46" s="20"/>
      <c r="K46" s="20"/>
      <c r="L46" s="20"/>
      <c r="M46" s="20"/>
      <c r="N46" s="20">
        <v>0.1</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0.7999999999999999</v>
      </c>
      <c r="O53" s="29"/>
      <c r="P53" s="29">
        <f>SUM(P30:P51)</f>
        <v>21.5</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4">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281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114215-00S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PORT, 12" CF</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20</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114215-00S</v>
      </c>
      <c r="H19" s="13" t="str">
        <f>D11</f>
        <v>TUBE, PORT, 12" CF</v>
      </c>
      <c r="Q19" s="13" t="s">
        <v>536</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TUBE, 10.00 OD, .25 WALL, 5.75 LG</v>
      </c>
      <c r="Q26" s="50">
        <f>INDEX(BOM!M:M,MATCH($P$3,BOM!$P:$P,0)+1,1)</f>
        <v>20</v>
      </c>
    </row>
    <row r="27" spans="2:14" ht="14.25">
      <c r="B27" s="31"/>
      <c r="N27" s="137" t="str">
        <f>INDEX(BOM!N:N,MATCH($P$3,BOM!$P:$P,0)+1,1)</f>
        <v>AISI 304/AISI 304L DUAL CERTIFIED PER ASME SPEC SA-240</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209</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210</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v>
      </c>
      <c r="D34" s="19" t="s">
        <v>223</v>
      </c>
      <c r="E34" s="20"/>
      <c r="F34" s="20"/>
      <c r="G34" s="20"/>
      <c r="H34" s="20"/>
      <c r="I34" s="20"/>
      <c r="J34" s="20"/>
      <c r="K34" s="20"/>
      <c r="L34" s="20"/>
      <c r="M34" s="20"/>
      <c r="N34" s="20">
        <v>1</v>
      </c>
      <c r="O34" s="20"/>
      <c r="P34" s="20">
        <v>10</v>
      </c>
      <c r="Q34" s="23"/>
      <c r="R34" s="19"/>
      <c r="S34" s="20"/>
      <c r="T34" s="23"/>
      <c r="U34" s="20"/>
      <c r="V34" s="20"/>
      <c r="W34" s="23"/>
    </row>
    <row r="35" spans="2:23" ht="14.25">
      <c r="B35" s="45"/>
      <c r="C35" s="46"/>
      <c r="D35" s="19" t="s">
        <v>225</v>
      </c>
      <c r="E35" s="20"/>
      <c r="F35" s="20"/>
      <c r="G35" s="20"/>
      <c r="H35" s="20"/>
      <c r="I35" s="20"/>
      <c r="J35" s="20"/>
      <c r="K35" s="20"/>
      <c r="L35" s="20"/>
      <c r="M35" s="20"/>
      <c r="N35" s="20"/>
      <c r="O35" s="20"/>
      <c r="P35" s="20"/>
      <c r="Q35" s="23"/>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1">
        <v>47</v>
      </c>
      <c r="D37" s="42" t="s">
        <v>224</v>
      </c>
      <c r="E37" s="43"/>
      <c r="F37" s="43"/>
      <c r="G37" s="43"/>
      <c r="H37" s="43"/>
      <c r="I37" s="43"/>
      <c r="J37" s="43"/>
      <c r="K37" s="43"/>
      <c r="L37" s="43"/>
      <c r="M37" s="43"/>
      <c r="N37" s="43">
        <v>0</v>
      </c>
      <c r="O37" s="43"/>
      <c r="P37" s="43">
        <v>5</v>
      </c>
      <c r="Q37" s="44"/>
      <c r="R37" s="42"/>
      <c r="S37" s="43"/>
      <c r="T37" s="44"/>
      <c r="U37" s="43"/>
      <c r="V37" s="43"/>
      <c r="W37" s="44"/>
    </row>
    <row r="38" spans="2:23" ht="14.25">
      <c r="B38" s="40"/>
      <c r="C38" s="41"/>
      <c r="D38" s="42"/>
      <c r="E38" s="43"/>
      <c r="F38" s="43"/>
      <c r="G38" s="43"/>
      <c r="H38" s="43"/>
      <c r="I38" s="43"/>
      <c r="J38" s="43"/>
      <c r="K38" s="43"/>
      <c r="L38" s="43"/>
      <c r="M38" s="43"/>
      <c r="N38" s="43"/>
      <c r="O38" s="43"/>
      <c r="P38" s="43"/>
      <c r="Q38" s="44"/>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60</v>
      </c>
      <c r="D40" s="13" t="s">
        <v>67</v>
      </c>
      <c r="E40" s="20"/>
      <c r="F40" s="20"/>
      <c r="G40" s="20"/>
      <c r="H40" s="20"/>
      <c r="I40" s="20"/>
      <c r="J40" s="20"/>
      <c r="K40" s="20"/>
      <c r="L40" s="20"/>
      <c r="M40" s="20"/>
      <c r="N40" s="20">
        <v>0</v>
      </c>
      <c r="O40" s="20"/>
      <c r="P40" s="20">
        <v>0</v>
      </c>
      <c r="Q40" s="23"/>
      <c r="R40" s="20"/>
      <c r="S40" s="20"/>
      <c r="T40" s="23"/>
      <c r="U40" s="20"/>
      <c r="V40" s="20"/>
      <c r="W40" s="23"/>
    </row>
    <row r="41" spans="2:23" ht="14.25">
      <c r="B41" s="45"/>
      <c r="C41" s="45"/>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1</v>
      </c>
      <c r="O53" s="29"/>
      <c r="P53" s="29">
        <f>SUM(P30:P51)</f>
        <v>15</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B2:W55"/>
  <sheetViews>
    <sheetView zoomScale="90" zoomScaleNormal="90" workbookViewId="0" topLeftCell="A28">
      <selection activeCell="J60" sqref="J60"/>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3.71093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409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114255-00WS</v>
      </c>
      <c r="E9" s="20"/>
      <c r="F9" s="20"/>
      <c r="G9" s="20"/>
      <c r="H9" s="20"/>
      <c r="I9" s="20"/>
      <c r="J9" s="20"/>
      <c r="K9" s="20"/>
      <c r="L9" s="20"/>
      <c r="M9" s="20"/>
      <c r="N9" s="24" t="s">
        <v>2</v>
      </c>
      <c r="O9" s="20"/>
      <c r="P9" s="97"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NIPPLE, BELLOWS,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114255-00WS</v>
      </c>
      <c r="H19" s="13" t="str">
        <f>D11</f>
        <v>WELDMENT, NIPPLE, BELLOWS, MCA TUBE</v>
      </c>
      <c r="Q19" s="13" t="s">
        <v>536</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114223-04S</v>
      </c>
      <c r="H26" s="50" t="str">
        <f>INDEX(BOM!J:J,MATCH($P$3,BOM!$P:$P,0)+1,1)</f>
        <v>PLATE, REDUCER, WMCA#1</v>
      </c>
      <c r="Q26" s="50">
        <f>INDEX(BOM!M:M,MATCH($P$3,BOM!$P:$P,0)+1,1)</f>
        <v>4</v>
      </c>
    </row>
    <row r="27" spans="2:17" ht="14.25">
      <c r="B27" s="31"/>
      <c r="C27" s="50" t="str">
        <f>INDEX(BOM!I:I,MATCH($P$3,BOM!$P:$P,0)+3,1)</f>
        <v>114222-00WS</v>
      </c>
      <c r="H27" s="50" t="str">
        <f>INDEX(BOM!J:J,MATCH($P$3,BOM!$P:$P,0)+3,1)</f>
        <v>WELDMENT, BELLOWS SUBASSEMBLY</v>
      </c>
      <c r="Q27" s="50">
        <f>INDEX(BOM!M:M,MATCH($P$3,BOM!$P:$P,0)+3,1)</f>
        <v>4</v>
      </c>
    </row>
    <row r="28" spans="2:17" ht="14.25">
      <c r="B28" s="31"/>
      <c r="C28" s="50" t="str">
        <f>INDEX(BOM!I:I,MATCH($P$3,BOM!$P:$P,0)+18,1)</f>
        <v>114258-00S</v>
      </c>
      <c r="H28" s="50" t="str">
        <f>INDEX(BOM!J:J,MATCH($P$3,BOM!$P:$P,0)+18,1)</f>
        <v>FLANGE, 60.50 ID, FLAT FACED </v>
      </c>
      <c r="Q28" s="50">
        <f>INDEX(BOM!M:M,MATCH($P$3,BOM!$P:$P,0)+18,1)</f>
        <v>4</v>
      </c>
    </row>
    <row r="29" ht="15" thickBot="1">
      <c r="B29" s="31"/>
    </row>
    <row r="30" spans="2:23" ht="15" thickBot="1">
      <c r="B30" s="34" t="s">
        <v>17</v>
      </c>
      <c r="C30" s="35" t="s">
        <v>18</v>
      </c>
      <c r="D30" s="36" t="s">
        <v>19</v>
      </c>
      <c r="E30" s="37"/>
      <c r="F30" s="37"/>
      <c r="G30" s="37"/>
      <c r="H30" s="37"/>
      <c r="I30" s="37"/>
      <c r="J30" s="37"/>
      <c r="K30" s="37"/>
      <c r="L30" s="37"/>
      <c r="M30" s="37"/>
      <c r="N30" s="37" t="s">
        <v>20</v>
      </c>
      <c r="O30" s="37"/>
      <c r="P30" s="37" t="s">
        <v>21</v>
      </c>
      <c r="Q30" s="38"/>
      <c r="R30" s="36"/>
      <c r="S30" s="39" t="s">
        <v>22</v>
      </c>
      <c r="T30" s="38"/>
      <c r="U30" s="37"/>
      <c r="V30" s="39" t="s">
        <v>23</v>
      </c>
      <c r="W30" s="38"/>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0">
        <v>10</v>
      </c>
      <c r="C32" s="41">
        <v>60</v>
      </c>
      <c r="D32" s="42" t="s">
        <v>209</v>
      </c>
      <c r="E32" s="43"/>
      <c r="F32" s="43"/>
      <c r="G32" s="43"/>
      <c r="H32" s="43"/>
      <c r="I32" s="43"/>
      <c r="J32" s="43"/>
      <c r="K32" s="43"/>
      <c r="L32" s="43"/>
      <c r="M32" s="43"/>
      <c r="N32" s="43">
        <v>0</v>
      </c>
      <c r="O32" s="43"/>
      <c r="P32" s="43">
        <v>0</v>
      </c>
      <c r="Q32" s="44"/>
      <c r="R32" s="42"/>
      <c r="S32" s="43"/>
      <c r="T32" s="44"/>
      <c r="U32" s="43"/>
      <c r="V32" s="43"/>
      <c r="W32" s="44"/>
    </row>
    <row r="33" spans="2:23" ht="14.25">
      <c r="B33" s="40"/>
      <c r="C33" s="41"/>
      <c r="D33" s="42" t="s">
        <v>210</v>
      </c>
      <c r="E33" s="43"/>
      <c r="F33" s="43"/>
      <c r="G33" s="43"/>
      <c r="H33" s="43"/>
      <c r="I33" s="43"/>
      <c r="J33" s="43"/>
      <c r="K33" s="43"/>
      <c r="L33" s="43"/>
      <c r="M33" s="43"/>
      <c r="N33" s="43"/>
      <c r="O33" s="43"/>
      <c r="P33" s="43"/>
      <c r="Q33" s="44"/>
      <c r="R33" s="42"/>
      <c r="S33" s="43"/>
      <c r="T33" s="44"/>
      <c r="U33" s="43"/>
      <c r="V33" s="43"/>
      <c r="W33" s="44"/>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5">
        <v>20</v>
      </c>
      <c r="C35" s="46">
        <v>10</v>
      </c>
      <c r="D35" s="19" t="s">
        <v>203</v>
      </c>
      <c r="E35" s="20"/>
      <c r="F35" s="20"/>
      <c r="G35" s="20"/>
      <c r="H35" s="20"/>
      <c r="I35" s="20"/>
      <c r="J35" s="20"/>
      <c r="K35" s="20"/>
      <c r="L35" s="20"/>
      <c r="M35" s="20"/>
      <c r="N35" s="20">
        <v>0.25</v>
      </c>
      <c r="O35" s="20"/>
      <c r="P35" s="20">
        <v>1</v>
      </c>
      <c r="Q35" s="23"/>
      <c r="R35" s="19"/>
      <c r="S35" s="20"/>
      <c r="T35" s="23"/>
      <c r="U35" s="20"/>
      <c r="V35" s="20"/>
      <c r="W35" s="23"/>
    </row>
    <row r="36" spans="2:23" ht="14.25">
      <c r="B36" s="45"/>
      <c r="C36" s="46"/>
      <c r="D36" s="19" t="s">
        <v>204</v>
      </c>
      <c r="E36" s="20"/>
      <c r="F36" s="20"/>
      <c r="G36" s="20"/>
      <c r="H36" s="20"/>
      <c r="I36" s="20"/>
      <c r="J36" s="20"/>
      <c r="K36" s="20"/>
      <c r="L36" s="20"/>
      <c r="M36" s="20"/>
      <c r="N36" s="20"/>
      <c r="O36" s="20"/>
      <c r="P36" s="20"/>
      <c r="Q36" s="23"/>
      <c r="R36" s="19"/>
      <c r="S36" s="20"/>
      <c r="T36" s="23"/>
      <c r="U36" s="20"/>
      <c r="V36" s="20"/>
      <c r="W36" s="23"/>
    </row>
    <row r="37" spans="2:23" ht="14.25">
      <c r="B37" s="40"/>
      <c r="C37" s="41"/>
      <c r="D37" s="42" t="s">
        <v>211</v>
      </c>
      <c r="E37" s="43"/>
      <c r="F37" s="43"/>
      <c r="G37" s="43"/>
      <c r="H37" s="43"/>
      <c r="I37" s="43"/>
      <c r="J37" s="43"/>
      <c r="K37" s="43"/>
      <c r="L37" s="43"/>
      <c r="M37" s="43"/>
      <c r="N37" s="43"/>
      <c r="O37" s="43"/>
      <c r="P37" s="43"/>
      <c r="Q37" s="44"/>
      <c r="R37" s="42"/>
      <c r="S37" s="43"/>
      <c r="T37" s="44"/>
      <c r="U37" s="43"/>
      <c r="V37" s="43"/>
      <c r="W37" s="44"/>
    </row>
    <row r="38" spans="2:23" ht="14.25">
      <c r="B38" s="40">
        <v>30</v>
      </c>
      <c r="C38" s="41">
        <v>10</v>
      </c>
      <c r="D38" s="42" t="s">
        <v>212</v>
      </c>
      <c r="E38" s="43"/>
      <c r="F38" s="43"/>
      <c r="G38" s="43"/>
      <c r="H38" s="43"/>
      <c r="I38" s="43"/>
      <c r="J38" s="43"/>
      <c r="K38" s="43"/>
      <c r="L38" s="43"/>
      <c r="M38" s="43"/>
      <c r="N38" s="43">
        <v>0.25</v>
      </c>
      <c r="O38" s="43"/>
      <c r="P38" s="43">
        <v>4</v>
      </c>
      <c r="Q38" s="44"/>
      <c r="R38" s="42"/>
      <c r="S38" s="43"/>
      <c r="T38" s="44"/>
      <c r="U38" s="43"/>
      <c r="V38" s="43"/>
      <c r="W38" s="44"/>
    </row>
    <row r="39" spans="2:23" ht="14.25">
      <c r="B39" s="40"/>
      <c r="C39" s="41"/>
      <c r="D39" s="42"/>
      <c r="E39" s="43"/>
      <c r="F39" s="43"/>
      <c r="G39" s="43"/>
      <c r="H39" s="43"/>
      <c r="I39" s="43"/>
      <c r="J39" s="43"/>
      <c r="K39" s="43"/>
      <c r="L39" s="43"/>
      <c r="M39" s="43"/>
      <c r="N39" s="43"/>
      <c r="O39" s="43"/>
      <c r="P39" s="43"/>
      <c r="Q39" s="44"/>
      <c r="R39" s="42"/>
      <c r="S39" s="43"/>
      <c r="T39" s="44"/>
      <c r="U39" s="43"/>
      <c r="V39" s="43"/>
      <c r="W39" s="44"/>
    </row>
    <row r="40" spans="2:23" ht="14.25">
      <c r="B40" s="45"/>
      <c r="C40" s="46"/>
      <c r="D40" s="19" t="s">
        <v>213</v>
      </c>
      <c r="E40" s="20"/>
      <c r="F40" s="20"/>
      <c r="G40" s="20"/>
      <c r="H40" s="20"/>
      <c r="I40" s="20"/>
      <c r="J40" s="20"/>
      <c r="K40" s="20"/>
      <c r="L40" s="20"/>
      <c r="M40" s="20"/>
      <c r="N40" s="20"/>
      <c r="O40" s="20"/>
      <c r="P40" s="20"/>
      <c r="Q40" s="23"/>
      <c r="R40" s="19"/>
      <c r="S40" s="20"/>
      <c r="T40" s="23"/>
      <c r="U40" s="20"/>
      <c r="V40" s="20"/>
      <c r="W40" s="23"/>
    </row>
    <row r="41" spans="2:23" ht="14.25">
      <c r="B41" s="45">
        <v>40</v>
      </c>
      <c r="C41" s="45">
        <v>10</v>
      </c>
      <c r="D41" s="13" t="s">
        <v>214</v>
      </c>
      <c r="E41" s="20"/>
      <c r="F41" s="20"/>
      <c r="G41" s="20"/>
      <c r="H41" s="20"/>
      <c r="I41" s="20"/>
      <c r="J41" s="20"/>
      <c r="K41" s="20"/>
      <c r="L41" s="20"/>
      <c r="M41" s="20"/>
      <c r="N41" s="20">
        <v>0.5</v>
      </c>
      <c r="O41" s="20"/>
      <c r="P41" s="20">
        <v>8</v>
      </c>
      <c r="Q41" s="23"/>
      <c r="R41" s="19"/>
      <c r="S41" s="20"/>
      <c r="T41" s="23"/>
      <c r="U41" s="20"/>
      <c r="V41" s="20"/>
      <c r="W41" s="23"/>
    </row>
    <row r="42" spans="2:23" ht="14.25">
      <c r="B42" s="45"/>
      <c r="C42" s="45"/>
      <c r="D42" s="13" t="s">
        <v>215</v>
      </c>
      <c r="E42" s="20"/>
      <c r="F42" s="20"/>
      <c r="G42" s="20"/>
      <c r="H42" s="20"/>
      <c r="I42" s="20"/>
      <c r="J42" s="20"/>
      <c r="K42" s="20"/>
      <c r="L42" s="20"/>
      <c r="M42" s="20"/>
      <c r="N42" s="20"/>
      <c r="O42" s="20"/>
      <c r="P42" s="20"/>
      <c r="Q42" s="23"/>
      <c r="R42" s="19"/>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50</v>
      </c>
      <c r="C44" s="41">
        <v>47</v>
      </c>
      <c r="D44" s="42" t="s">
        <v>216</v>
      </c>
      <c r="E44" s="43"/>
      <c r="F44" s="43"/>
      <c r="G44" s="43"/>
      <c r="H44" s="43"/>
      <c r="I44" s="43"/>
      <c r="J44" s="43"/>
      <c r="K44" s="43"/>
      <c r="L44" s="43"/>
      <c r="M44" s="43"/>
      <c r="N44" s="43">
        <v>0.1</v>
      </c>
      <c r="O44" s="43"/>
      <c r="P44" s="43">
        <v>1</v>
      </c>
      <c r="Q44" s="44"/>
      <c r="R44" s="42"/>
      <c r="S44" s="43"/>
      <c r="T44" s="44"/>
      <c r="U44" s="43"/>
      <c r="V44" s="43"/>
      <c r="W44" s="44"/>
    </row>
    <row r="45" spans="2:23" ht="14.25">
      <c r="B45" s="40"/>
      <c r="C45" s="41"/>
      <c r="D45" s="42" t="s">
        <v>217</v>
      </c>
      <c r="E45" s="43"/>
      <c r="F45" s="43"/>
      <c r="G45" s="43"/>
      <c r="H45" s="43"/>
      <c r="I45" s="43"/>
      <c r="J45" s="43"/>
      <c r="K45" s="43"/>
      <c r="L45" s="43"/>
      <c r="M45" s="43"/>
      <c r="N45" s="43"/>
      <c r="O45" s="43"/>
      <c r="P45" s="43"/>
      <c r="Q45" s="44"/>
      <c r="R45" s="42"/>
      <c r="S45" s="43"/>
      <c r="T45" s="44"/>
      <c r="U45" s="43"/>
      <c r="V45" s="43"/>
      <c r="W45" s="44"/>
    </row>
    <row r="46" spans="2:23" ht="14.25">
      <c r="B46" s="45"/>
      <c r="C46" s="46"/>
      <c r="D46" s="19" t="s">
        <v>218</v>
      </c>
      <c r="E46" s="20"/>
      <c r="F46" s="20"/>
      <c r="G46" s="20"/>
      <c r="H46" s="20"/>
      <c r="I46" s="20"/>
      <c r="J46" s="20"/>
      <c r="K46" s="20"/>
      <c r="L46" s="20"/>
      <c r="M46" s="20"/>
      <c r="N46" s="20"/>
      <c r="O46" s="20"/>
      <c r="P46" s="20"/>
      <c r="Q46" s="23"/>
      <c r="R46" s="19"/>
      <c r="S46" s="20"/>
      <c r="T46" s="23"/>
      <c r="U46" s="20"/>
      <c r="V46" s="20"/>
      <c r="W46" s="23"/>
    </row>
    <row r="47" spans="2:23" ht="15">
      <c r="B47" s="45">
        <v>60</v>
      </c>
      <c r="C47" s="46">
        <v>10</v>
      </c>
      <c r="D47" s="19" t="s">
        <v>219</v>
      </c>
      <c r="E47" s="20"/>
      <c r="F47" s="20"/>
      <c r="G47" s="20"/>
      <c r="H47" s="20"/>
      <c r="I47" s="20"/>
      <c r="J47" s="20"/>
      <c r="K47" s="20"/>
      <c r="L47" s="20"/>
      <c r="M47" s="20"/>
      <c r="N47" s="20">
        <v>0.1</v>
      </c>
      <c r="O47" s="20"/>
      <c r="P47" s="20">
        <v>8</v>
      </c>
      <c r="Q47" s="23"/>
      <c r="R47" s="19"/>
      <c r="S47" s="20"/>
      <c r="T47" s="23"/>
      <c r="U47" s="20"/>
      <c r="V47" s="20"/>
      <c r="W47" s="23"/>
    </row>
    <row r="48" spans="2:23" ht="14.25">
      <c r="B48" s="45"/>
      <c r="C48" s="46"/>
      <c r="D48" s="19"/>
      <c r="E48" s="20"/>
      <c r="F48" s="20"/>
      <c r="G48" s="20"/>
      <c r="H48" s="20"/>
      <c r="I48" s="20"/>
      <c r="J48" s="20"/>
      <c r="K48" s="20"/>
      <c r="L48" s="20"/>
      <c r="M48" s="20"/>
      <c r="N48" s="20"/>
      <c r="O48" s="20"/>
      <c r="P48" s="20"/>
      <c r="Q48" s="23"/>
      <c r="R48" s="19"/>
      <c r="S48" s="20"/>
      <c r="T48" s="23"/>
      <c r="U48" s="20"/>
      <c r="V48" s="20"/>
      <c r="W48" s="23"/>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v>70</v>
      </c>
      <c r="C50" s="41">
        <v>47</v>
      </c>
      <c r="D50" s="42" t="s">
        <v>220</v>
      </c>
      <c r="E50" s="43"/>
      <c r="F50" s="43"/>
      <c r="G50" s="43"/>
      <c r="H50" s="43"/>
      <c r="I50" s="43"/>
      <c r="J50" s="43"/>
      <c r="K50" s="43"/>
      <c r="L50" s="43"/>
      <c r="M50" s="43"/>
      <c r="N50" s="43">
        <v>0.1</v>
      </c>
      <c r="O50" s="43"/>
      <c r="P50" s="43">
        <v>2</v>
      </c>
      <c r="Q50" s="44"/>
      <c r="R50" s="42"/>
      <c r="S50" s="43"/>
      <c r="T50" s="44"/>
      <c r="U50" s="43"/>
      <c r="V50" s="43"/>
      <c r="W50" s="44"/>
    </row>
    <row r="51" spans="2:23" ht="14.25">
      <c r="B51" s="40"/>
      <c r="C51" s="41"/>
      <c r="D51" s="42" t="s">
        <v>221</v>
      </c>
      <c r="E51" s="43"/>
      <c r="F51" s="43"/>
      <c r="G51" s="43"/>
      <c r="H51" s="43"/>
      <c r="I51" s="43"/>
      <c r="J51" s="43"/>
      <c r="K51" s="43"/>
      <c r="L51" s="43"/>
      <c r="M51" s="43"/>
      <c r="N51" s="43"/>
      <c r="O51" s="43"/>
      <c r="P51" s="43"/>
      <c r="Q51" s="44"/>
      <c r="R51" s="42"/>
      <c r="S51" s="43"/>
      <c r="T51" s="44"/>
      <c r="U51" s="43"/>
      <c r="V51" s="43"/>
      <c r="W51" s="44"/>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5">
        <v>80</v>
      </c>
      <c r="C53" s="46">
        <v>60</v>
      </c>
      <c r="D53" s="19" t="s">
        <v>67</v>
      </c>
      <c r="E53" s="20"/>
      <c r="F53" s="20"/>
      <c r="G53" s="20"/>
      <c r="H53" s="20"/>
      <c r="I53" s="20"/>
      <c r="J53" s="20"/>
      <c r="K53" s="20"/>
      <c r="L53" s="20"/>
      <c r="M53" s="20"/>
      <c r="N53" s="20">
        <v>0</v>
      </c>
      <c r="O53" s="20"/>
      <c r="P53" s="20">
        <v>0</v>
      </c>
      <c r="Q53" s="23"/>
      <c r="R53" s="19"/>
      <c r="S53" s="20"/>
      <c r="T53" s="23"/>
      <c r="U53" s="20"/>
      <c r="V53" s="20"/>
      <c r="W53" s="23"/>
    </row>
    <row r="54" spans="2:23" ht="14.25">
      <c r="B54" s="45"/>
      <c r="C54" s="46"/>
      <c r="D54" s="19"/>
      <c r="E54" s="20"/>
      <c r="F54" s="20"/>
      <c r="G54" s="20"/>
      <c r="H54" s="20"/>
      <c r="I54" s="20"/>
      <c r="J54" s="20"/>
      <c r="K54" s="20"/>
      <c r="L54" s="20"/>
      <c r="M54" s="20"/>
      <c r="N54" s="20"/>
      <c r="O54" s="20"/>
      <c r="P54" s="20"/>
      <c r="Q54" s="23"/>
      <c r="R54" s="19"/>
      <c r="S54" s="20"/>
      <c r="T54" s="23"/>
      <c r="U54" s="20"/>
      <c r="V54" s="20"/>
      <c r="W54" s="23"/>
    </row>
    <row r="55" spans="2:23" ht="15" thickBot="1">
      <c r="B55" s="47"/>
      <c r="C55" s="48"/>
      <c r="D55" s="28"/>
      <c r="E55" s="29"/>
      <c r="F55" s="29"/>
      <c r="G55" s="29"/>
      <c r="H55" s="29"/>
      <c r="I55" s="29"/>
      <c r="J55" s="29"/>
      <c r="K55" s="29"/>
      <c r="L55" s="29"/>
      <c r="M55" s="49" t="s">
        <v>24</v>
      </c>
      <c r="N55" s="29">
        <f>SUM(N31:N54)</f>
        <v>1.3000000000000003</v>
      </c>
      <c r="O55" s="29"/>
      <c r="P55" s="29">
        <f>SUM(P31:P54)</f>
        <v>24</v>
      </c>
      <c r="Q55" s="30"/>
      <c r="R55" s="28"/>
      <c r="S55" s="29"/>
      <c r="T55" s="30"/>
      <c r="U55" s="29"/>
      <c r="V55" s="29"/>
      <c r="W55"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B2:W51"/>
  <sheetViews>
    <sheetView workbookViewId="0" topLeftCell="A10">
      <selection activeCell="P31" sqref="P3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421875" style="13" customWidth="1"/>
    <col min="14" max="14" width="6.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114223-04S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REDUCER, WMCA#1</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114223-04S</v>
      </c>
      <c r="H19" s="13" t="str">
        <f>D11</f>
        <v>PLATE, REDUCER, WMCA#1</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INDEX(BOM!I:I,MATCH($P$3,BOM!$P:$P,0)+1,1)</f>
        <v>114223-00SL</v>
      </c>
      <c r="H25" s="50" t="str">
        <f>INDEX(BOM!J:J,MATCH($P$3,BOM!$P:$P,0)+1,1)</f>
        <v>FORGING, 2.25 THK, 61.25 ID, 84.00 OD</v>
      </c>
      <c r="Q25" s="50">
        <f>INDEX(BOM!M:M,MATCH($P$3,BOM!$P:$P,0)+1,1)</f>
        <v>4</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47</v>
      </c>
      <c r="D29" s="42" t="s">
        <v>197</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196</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60</v>
      </c>
      <c r="D32" s="19" t="s">
        <v>171</v>
      </c>
      <c r="E32" s="20"/>
      <c r="F32" s="20"/>
      <c r="G32" s="20"/>
      <c r="H32" s="20"/>
      <c r="I32" s="20"/>
      <c r="J32" s="20"/>
      <c r="K32" s="20"/>
      <c r="L32" s="20"/>
      <c r="M32" s="20"/>
      <c r="N32" s="20">
        <v>0</v>
      </c>
      <c r="O32" s="20"/>
      <c r="P32" s="20">
        <v>0.1</v>
      </c>
      <c r="Q32" s="23"/>
      <c r="R32" s="19"/>
      <c r="S32" s="20"/>
      <c r="T32" s="23"/>
      <c r="U32" s="20"/>
      <c r="V32" s="20"/>
      <c r="W32" s="23"/>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0"/>
      <c r="C34" s="41"/>
      <c r="D34" s="42" t="s">
        <v>172</v>
      </c>
      <c r="E34" s="43"/>
      <c r="F34" s="43"/>
      <c r="G34" s="43"/>
      <c r="H34" s="43"/>
      <c r="I34" s="43"/>
      <c r="J34" s="43"/>
      <c r="K34" s="43"/>
      <c r="L34" s="43"/>
      <c r="M34" s="43"/>
      <c r="N34" s="43"/>
      <c r="O34" s="43"/>
      <c r="P34" s="43"/>
      <c r="Q34" s="44"/>
      <c r="R34" s="42"/>
      <c r="S34" s="43"/>
      <c r="T34" s="44"/>
      <c r="U34" s="43"/>
      <c r="V34" s="43"/>
      <c r="W34" s="44"/>
    </row>
    <row r="35" spans="2:23" ht="14.25">
      <c r="B35" s="40">
        <v>30</v>
      </c>
      <c r="C35" s="41">
        <v>1</v>
      </c>
      <c r="D35" s="42" t="s">
        <v>173</v>
      </c>
      <c r="E35" s="43"/>
      <c r="F35" s="43"/>
      <c r="G35" s="43"/>
      <c r="H35" s="43"/>
      <c r="I35" s="43"/>
      <c r="J35" s="43"/>
      <c r="K35" s="43"/>
      <c r="L35" s="43"/>
      <c r="M35" s="43"/>
      <c r="N35" s="43">
        <v>0.75</v>
      </c>
      <c r="O35" s="43"/>
      <c r="P35" s="43">
        <v>4</v>
      </c>
      <c r="Q35" s="44"/>
      <c r="R35" s="42"/>
      <c r="S35" s="43"/>
      <c r="T35" s="44"/>
      <c r="U35" s="43"/>
      <c r="V35" s="43"/>
      <c r="W35" s="44"/>
    </row>
    <row r="36" spans="2:23" ht="15">
      <c r="B36" s="40"/>
      <c r="C36" s="41"/>
      <c r="D36" s="42" t="s">
        <v>174</v>
      </c>
      <c r="E36" s="43"/>
      <c r="F36" s="43"/>
      <c r="G36" s="43"/>
      <c r="H36" s="43"/>
      <c r="I36" s="43"/>
      <c r="J36" s="43"/>
      <c r="K36" s="43"/>
      <c r="L36" s="43"/>
      <c r="M36" s="43"/>
      <c r="N36" s="43"/>
      <c r="O36" s="43"/>
      <c r="P36" s="43"/>
      <c r="Q36" s="44"/>
      <c r="R36" s="42"/>
      <c r="S36" s="43"/>
      <c r="T36" s="44"/>
      <c r="U36" s="43"/>
      <c r="V36" s="43"/>
      <c r="W36" s="44"/>
    </row>
    <row r="37" spans="2:23" ht="14.25">
      <c r="B37" s="45"/>
      <c r="C37" s="45"/>
      <c r="E37" s="20"/>
      <c r="F37" s="20"/>
      <c r="G37" s="20"/>
      <c r="H37" s="20"/>
      <c r="I37" s="20"/>
      <c r="J37" s="20"/>
      <c r="K37" s="20"/>
      <c r="L37" s="20"/>
      <c r="M37" s="20"/>
      <c r="N37" s="20"/>
      <c r="O37" s="20"/>
      <c r="P37" s="20"/>
      <c r="Q37" s="23"/>
      <c r="R37" s="19"/>
      <c r="S37" s="20"/>
      <c r="T37" s="23"/>
      <c r="U37" s="20"/>
      <c r="V37" s="20"/>
      <c r="W37" s="23"/>
    </row>
    <row r="38" spans="2:23" ht="14.25">
      <c r="B38" s="45">
        <v>40</v>
      </c>
      <c r="C38" s="45">
        <v>1</v>
      </c>
      <c r="D38" s="13" t="s">
        <v>198</v>
      </c>
      <c r="N38" s="13">
        <v>0.5</v>
      </c>
      <c r="P38" s="13">
        <v>4</v>
      </c>
      <c r="Q38" s="23"/>
      <c r="R38" s="19"/>
      <c r="S38" s="20"/>
      <c r="T38" s="23"/>
      <c r="U38" s="20"/>
      <c r="V38" s="20"/>
      <c r="W38" s="23"/>
    </row>
    <row r="39" spans="2:23" ht="15">
      <c r="B39" s="45"/>
      <c r="C39" s="46"/>
      <c r="D39" s="99" t="s">
        <v>174</v>
      </c>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50</v>
      </c>
      <c r="C41" s="41">
        <v>60</v>
      </c>
      <c r="D41" s="42" t="s">
        <v>199</v>
      </c>
      <c r="E41" s="43"/>
      <c r="F41" s="43"/>
      <c r="G41" s="43"/>
      <c r="H41" s="43"/>
      <c r="I41" s="43"/>
      <c r="J41" s="43"/>
      <c r="K41" s="43"/>
      <c r="L41" s="43"/>
      <c r="M41" s="43"/>
      <c r="N41" s="43">
        <v>0</v>
      </c>
      <c r="O41" s="43"/>
      <c r="P41" s="43">
        <v>0.5</v>
      </c>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60</v>
      </c>
      <c r="C44" s="46">
        <v>1</v>
      </c>
      <c r="D44" s="19" t="s">
        <v>200</v>
      </c>
      <c r="E44" s="20"/>
      <c r="F44" s="20"/>
      <c r="G44" s="20"/>
      <c r="H44" s="20"/>
      <c r="I44" s="20"/>
      <c r="J44" s="20"/>
      <c r="K44" s="20"/>
      <c r="L44" s="20"/>
      <c r="M44" s="20"/>
      <c r="N44" s="20">
        <v>0.75</v>
      </c>
      <c r="O44" s="20"/>
      <c r="P44" s="20">
        <v>8</v>
      </c>
      <c r="Q44" s="23"/>
      <c r="R44" s="19"/>
      <c r="S44" s="20"/>
      <c r="T44" s="23"/>
      <c r="U44" s="20"/>
      <c r="V44" s="20"/>
      <c r="W44" s="23"/>
    </row>
    <row r="45" spans="2:23" ht="15">
      <c r="B45" s="45"/>
      <c r="C45" s="46"/>
      <c r="D45" s="99" t="s">
        <v>174</v>
      </c>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70</v>
      </c>
      <c r="C47" s="41">
        <v>47</v>
      </c>
      <c r="D47" s="42" t="s">
        <v>183</v>
      </c>
      <c r="E47" s="43"/>
      <c r="F47" s="43"/>
      <c r="G47" s="43"/>
      <c r="H47" s="43"/>
      <c r="I47" s="43"/>
      <c r="J47" s="43"/>
      <c r="K47" s="43"/>
      <c r="L47" s="43"/>
      <c r="M47" s="43"/>
      <c r="N47" s="43">
        <v>0</v>
      </c>
      <c r="O47" s="43"/>
      <c r="P47" s="43">
        <v>1</v>
      </c>
      <c r="Q47" s="44"/>
      <c r="R47" s="42"/>
      <c r="S47" s="43"/>
      <c r="T47" s="44"/>
      <c r="U47" s="43"/>
      <c r="V47" s="43"/>
      <c r="W47" s="44"/>
    </row>
    <row r="48" spans="2:23" ht="14.25">
      <c r="B48" s="40"/>
      <c r="C48" s="41"/>
      <c r="D48" s="42" t="s">
        <v>184</v>
      </c>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80</v>
      </c>
      <c r="C50" s="46">
        <v>60</v>
      </c>
      <c r="D50" s="19" t="s">
        <v>67</v>
      </c>
      <c r="E50" s="20"/>
      <c r="F50" s="20"/>
      <c r="G50" s="20"/>
      <c r="H50" s="20"/>
      <c r="I50" s="20"/>
      <c r="J50" s="20"/>
      <c r="K50" s="20"/>
      <c r="L50" s="20"/>
      <c r="M50" s="20"/>
      <c r="N50" s="20">
        <v>0</v>
      </c>
      <c r="O50" s="20"/>
      <c r="P50" s="20">
        <v>0</v>
      </c>
      <c r="Q50" s="23"/>
      <c r="R50" s="19"/>
      <c r="S50" s="20"/>
      <c r="T50" s="23"/>
      <c r="U50" s="20"/>
      <c r="V50" s="20"/>
      <c r="W50" s="23"/>
    </row>
    <row r="51" spans="2:23" ht="15" thickBot="1">
      <c r="B51" s="47"/>
      <c r="C51" s="48"/>
      <c r="D51" s="28"/>
      <c r="E51" s="29"/>
      <c r="F51" s="29"/>
      <c r="G51" s="29"/>
      <c r="H51" s="29"/>
      <c r="I51" s="29"/>
      <c r="J51" s="29"/>
      <c r="K51" s="29"/>
      <c r="L51" s="29"/>
      <c r="M51" s="49" t="s">
        <v>24</v>
      </c>
      <c r="N51" s="29">
        <f>SUM(N29:N50)</f>
        <v>2</v>
      </c>
      <c r="O51" s="29"/>
      <c r="P51" s="29">
        <f>SUM(P29:P50)</f>
        <v>17.6</v>
      </c>
      <c r="Q51" s="30"/>
      <c r="R51" s="28"/>
      <c r="S51" s="29"/>
      <c r="T51" s="30"/>
      <c r="U51" s="29"/>
      <c r="V51" s="29"/>
      <c r="W51"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8" r:id="rId2"/>
  <drawing r:id="rId1"/>
</worksheet>
</file>

<file path=xl/worksheets/sheet28.xml><?xml version="1.0" encoding="utf-8"?>
<worksheet xmlns="http://schemas.openxmlformats.org/spreadsheetml/2006/main" xmlns:r="http://schemas.openxmlformats.org/officeDocument/2006/relationships">
  <dimension ref="B2:W51"/>
  <sheetViews>
    <sheetView workbookViewId="0" topLeftCell="A1">
      <selection activeCell="I55" sqref="I55"/>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57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114224-00S</v>
      </c>
      <c r="E9" s="20"/>
      <c r="F9" s="20"/>
      <c r="G9" s="20"/>
      <c r="H9" s="20"/>
      <c r="I9" s="20"/>
      <c r="J9" s="20"/>
      <c r="K9" s="20"/>
      <c r="L9" s="20"/>
      <c r="M9" s="20"/>
      <c r="N9" s="24" t="s">
        <v>2</v>
      </c>
      <c r="O9" s="20"/>
      <c r="P9" s="130" t="str">
        <f>INDEX(BOM!O:O,MATCH($P$3,BOM!$P:$P,0),1)</f>
        <v>11/10/10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ROLL-UP, MC BELLOWS NIPPLES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114224-00S</v>
      </c>
      <c r="H19" s="13" t="str">
        <f>D11</f>
        <v>ROLL-UP, MC BELLOWS NIPPLES</v>
      </c>
      <c r="Q19" s="13" t="s">
        <v>538</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t="str">
        <f>INDEX(BOM!R:R,MATCH($P$3,BOM!$P:$P,0)+1,1)</f>
        <v>114224-00S ROLL-UP, .25 WALL, 60.63 ID, 20.94 LG</v>
      </c>
      <c r="Q25" s="50">
        <f>INDEX(BOM!M:M,MATCH($P$3,BOM!$P:$P,0)+1,1)</f>
        <v>8</v>
      </c>
    </row>
    <row r="26" spans="2:14" ht="15" thickBot="1">
      <c r="B26" s="31"/>
      <c r="N26" s="137" t="str">
        <f>INDEX(BOM!N:N,MATCH($P$3,BOM!$P:$P,0)+1,1)</f>
        <v>AISI 304/AISI 304L DUAL CERTIFIED PER ASME SPEC SA-240</v>
      </c>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47</v>
      </c>
      <c r="D29" s="42" t="s">
        <v>185</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186</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60</v>
      </c>
      <c r="D32" s="19" t="s">
        <v>187</v>
      </c>
      <c r="E32" s="20"/>
      <c r="F32" s="20"/>
      <c r="G32" s="20"/>
      <c r="H32" s="20"/>
      <c r="I32" s="20"/>
      <c r="J32" s="20"/>
      <c r="K32" s="20"/>
      <c r="L32" s="20"/>
      <c r="M32" s="20"/>
      <c r="N32" s="20">
        <v>0.1</v>
      </c>
      <c r="O32" s="20"/>
      <c r="P32" s="20">
        <v>4</v>
      </c>
      <c r="Q32" s="23"/>
      <c r="R32" s="19"/>
      <c r="S32" s="20"/>
      <c r="T32" s="23"/>
      <c r="U32" s="20"/>
      <c r="V32" s="20"/>
      <c r="W32" s="23"/>
    </row>
    <row r="33" spans="2:23" ht="14.25">
      <c r="B33" s="45"/>
      <c r="C33" s="46"/>
      <c r="D33" s="19" t="s">
        <v>188</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189</v>
      </c>
      <c r="E35" s="43"/>
      <c r="F35" s="43"/>
      <c r="G35" s="43"/>
      <c r="H35" s="43"/>
      <c r="I35" s="43"/>
      <c r="J35" s="43"/>
      <c r="K35" s="43"/>
      <c r="L35" s="43"/>
      <c r="M35" s="43"/>
      <c r="N35" s="43">
        <v>0</v>
      </c>
      <c r="O35" s="43"/>
      <c r="P35" s="43">
        <v>0.5</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40</v>
      </c>
      <c r="C38" s="46">
        <v>1</v>
      </c>
      <c r="D38" s="19" t="s">
        <v>190</v>
      </c>
      <c r="E38" s="20"/>
      <c r="F38" s="20"/>
      <c r="G38" s="20"/>
      <c r="H38" s="20"/>
      <c r="I38" s="20"/>
      <c r="J38" s="20"/>
      <c r="K38" s="20"/>
      <c r="L38" s="20"/>
      <c r="M38" s="20"/>
      <c r="N38" s="20">
        <v>0.25</v>
      </c>
      <c r="O38" s="20"/>
      <c r="P38" s="20">
        <v>8</v>
      </c>
      <c r="Q38" s="23"/>
      <c r="R38" s="19"/>
      <c r="S38" s="20"/>
      <c r="T38" s="23"/>
      <c r="U38" s="20"/>
      <c r="V38" s="20"/>
      <c r="W38" s="23"/>
    </row>
    <row r="39" spans="2:23" ht="15">
      <c r="B39" s="45"/>
      <c r="C39" s="46"/>
      <c r="D39" s="19" t="s">
        <v>191</v>
      </c>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50</v>
      </c>
      <c r="C41" s="41">
        <v>60</v>
      </c>
      <c r="D41" s="42" t="s">
        <v>192</v>
      </c>
      <c r="E41" s="43"/>
      <c r="F41" s="43"/>
      <c r="G41" s="43"/>
      <c r="H41" s="43"/>
      <c r="I41" s="43"/>
      <c r="J41" s="43"/>
      <c r="K41" s="43"/>
      <c r="L41" s="43"/>
      <c r="M41" s="43"/>
      <c r="N41" s="43">
        <v>0.25</v>
      </c>
      <c r="O41" s="43"/>
      <c r="P41" s="43">
        <v>4</v>
      </c>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60</v>
      </c>
      <c r="C44" s="46">
        <v>47</v>
      </c>
      <c r="D44" s="19" t="s">
        <v>193</v>
      </c>
      <c r="E44" s="20"/>
      <c r="F44" s="20"/>
      <c r="G44" s="20"/>
      <c r="H44" s="20"/>
      <c r="I44" s="20"/>
      <c r="J44" s="20"/>
      <c r="K44" s="20"/>
      <c r="L44" s="20"/>
      <c r="M44" s="20"/>
      <c r="N44" s="20">
        <v>0</v>
      </c>
      <c r="O44" s="20"/>
      <c r="P44" s="20">
        <v>2</v>
      </c>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70</v>
      </c>
      <c r="C47" s="41">
        <v>49</v>
      </c>
      <c r="D47" s="42" t="s">
        <v>194</v>
      </c>
      <c r="E47" s="43"/>
      <c r="F47" s="43"/>
      <c r="G47" s="43"/>
      <c r="H47" s="43"/>
      <c r="I47" s="43"/>
      <c r="J47" s="43"/>
      <c r="K47" s="43"/>
      <c r="L47" s="43"/>
      <c r="M47" s="43"/>
      <c r="N47" s="43">
        <v>0</v>
      </c>
      <c r="O47" s="43"/>
      <c r="P47" s="43">
        <v>4</v>
      </c>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71</v>
      </c>
      <c r="C50" s="46">
        <v>60</v>
      </c>
      <c r="D50" s="19" t="s">
        <v>195</v>
      </c>
      <c r="E50" s="20"/>
      <c r="F50" s="20"/>
      <c r="G50" s="20"/>
      <c r="H50" s="20"/>
      <c r="I50" s="20"/>
      <c r="J50" s="20"/>
      <c r="K50" s="20"/>
      <c r="L50" s="20"/>
      <c r="M50" s="20"/>
      <c r="N50" s="20">
        <v>0</v>
      </c>
      <c r="O50" s="20"/>
      <c r="P50" s="20">
        <v>0</v>
      </c>
      <c r="Q50" s="23"/>
      <c r="R50" s="19"/>
      <c r="S50" s="20"/>
      <c r="T50" s="23"/>
      <c r="U50" s="20"/>
      <c r="V50" s="20"/>
      <c r="W50" s="23"/>
    </row>
    <row r="51" spans="2:23" ht="15" thickBot="1">
      <c r="B51" s="47"/>
      <c r="C51" s="48"/>
      <c r="D51" s="28"/>
      <c r="E51" s="29"/>
      <c r="F51" s="29"/>
      <c r="G51" s="29"/>
      <c r="H51" s="29"/>
      <c r="I51" s="29"/>
      <c r="J51" s="29"/>
      <c r="K51" s="29"/>
      <c r="L51" s="29"/>
      <c r="M51" s="49" t="s">
        <v>24</v>
      </c>
      <c r="N51" s="29">
        <f>SUM(N28:N50)</f>
        <v>0.6</v>
      </c>
      <c r="O51" s="29"/>
      <c r="P51" s="29">
        <f>SUM(P28:P50)</f>
        <v>22.5</v>
      </c>
      <c r="Q51" s="30"/>
      <c r="R51" s="28"/>
      <c r="S51" s="29"/>
      <c r="T51" s="30"/>
      <c r="U51" s="29"/>
      <c r="V51" s="29"/>
      <c r="W51"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9"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B2:W52"/>
  <sheetViews>
    <sheetView workbookViewId="0" topLeftCell="A25">
      <selection activeCell="B52" sqref="B5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114258-00S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FLANGE, 60.50 ID, FLAT FACED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114258-00S</v>
      </c>
      <c r="H19" s="13" t="str">
        <f>D11</f>
        <v>FLANGE, 60.50 ID, FLAT FACED </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spans="2:17" ht="14.25">
      <c r="B23" s="31" t="s">
        <v>11</v>
      </c>
      <c r="C23" s="13" t="s">
        <v>16</v>
      </c>
      <c r="Q23" s="13" t="s">
        <v>4</v>
      </c>
    </row>
    <row r="24" spans="2:17" ht="15" thickBot="1">
      <c r="B24" s="31"/>
      <c r="C24" s="50" t="str">
        <f>INDEX(BOM!I:I,MATCH($P$3,BOM!$P:$P,0)+1,1)</f>
        <v>114259-00S</v>
      </c>
      <c r="H24" s="50" t="str">
        <f>INDEX(BOM!J:J,MATCH($P$3,BOM!$P:$P,0)+1,1)</f>
        <v>FORGING, FLANGE, 1.38 THK, 60.50 ID, 68.50 OD</v>
      </c>
      <c r="Q24" s="50">
        <f>INDEX(BOM!M:M,MATCH($P$3,BOM!$P:$P,0)+1,1)</f>
        <v>4</v>
      </c>
    </row>
    <row r="25" spans="2:23" ht="15" thickBot="1">
      <c r="B25" s="34" t="s">
        <v>17</v>
      </c>
      <c r="C25" s="35" t="s">
        <v>18</v>
      </c>
      <c r="D25" s="36" t="s">
        <v>19</v>
      </c>
      <c r="E25" s="37"/>
      <c r="F25" s="37"/>
      <c r="G25" s="37"/>
      <c r="H25" s="37"/>
      <c r="I25" s="37"/>
      <c r="J25" s="37"/>
      <c r="K25" s="37"/>
      <c r="L25" s="37"/>
      <c r="M25" s="37"/>
      <c r="N25" s="37" t="s">
        <v>20</v>
      </c>
      <c r="O25" s="37"/>
      <c r="P25" s="37" t="s">
        <v>21</v>
      </c>
      <c r="Q25" s="38"/>
      <c r="R25" s="36"/>
      <c r="S25" s="39" t="s">
        <v>22</v>
      </c>
      <c r="T25" s="38"/>
      <c r="U25" s="37"/>
      <c r="V25" s="39" t="s">
        <v>23</v>
      </c>
      <c r="W25" s="38"/>
    </row>
    <row r="26" spans="2:23" ht="14.25">
      <c r="B26" s="40"/>
      <c r="C26" s="41"/>
      <c r="D26" s="42"/>
      <c r="E26" s="43"/>
      <c r="F26" s="43"/>
      <c r="G26" s="43"/>
      <c r="H26" s="43"/>
      <c r="I26" s="43"/>
      <c r="J26" s="43"/>
      <c r="K26" s="43"/>
      <c r="L26" s="43"/>
      <c r="M26" s="43"/>
      <c r="N26" s="43"/>
      <c r="O26" s="43"/>
      <c r="P26" s="43"/>
      <c r="Q26" s="44"/>
      <c r="R26" s="42"/>
      <c r="S26" s="43"/>
      <c r="T26" s="44"/>
      <c r="U26" s="43"/>
      <c r="V26" s="43"/>
      <c r="W26" s="44"/>
    </row>
    <row r="27" spans="2:23" ht="14.25">
      <c r="B27" s="40">
        <v>10</v>
      </c>
      <c r="C27" s="41">
        <v>47</v>
      </c>
      <c r="D27" s="42" t="s">
        <v>169</v>
      </c>
      <c r="E27" s="43"/>
      <c r="F27" s="43"/>
      <c r="G27" s="43"/>
      <c r="H27" s="43"/>
      <c r="I27" s="43"/>
      <c r="J27" s="43"/>
      <c r="K27" s="43"/>
      <c r="L27" s="43"/>
      <c r="M27" s="43"/>
      <c r="N27" s="43">
        <v>0</v>
      </c>
      <c r="O27" s="43"/>
      <c r="P27" s="43">
        <v>0.5</v>
      </c>
      <c r="Q27" s="44"/>
      <c r="R27" s="42"/>
      <c r="S27" s="43"/>
      <c r="T27" s="44"/>
      <c r="U27" s="43"/>
      <c r="V27" s="43"/>
      <c r="W27" s="44"/>
    </row>
    <row r="28" spans="2:23" ht="14.25">
      <c r="B28" s="40"/>
      <c r="C28" s="41"/>
      <c r="D28" s="42" t="s">
        <v>170</v>
      </c>
      <c r="E28" s="43"/>
      <c r="F28" s="43"/>
      <c r="G28" s="43"/>
      <c r="H28" s="43"/>
      <c r="I28" s="43"/>
      <c r="J28" s="43"/>
      <c r="K28" s="43"/>
      <c r="L28" s="43"/>
      <c r="M28" s="43"/>
      <c r="N28" s="43"/>
      <c r="O28" s="43"/>
      <c r="P28" s="43"/>
      <c r="Q28" s="44"/>
      <c r="R28" s="42"/>
      <c r="S28" s="43"/>
      <c r="T28" s="44"/>
      <c r="U28" s="43"/>
      <c r="V28" s="43"/>
      <c r="W28" s="44"/>
    </row>
    <row r="29" spans="2:23" ht="14.25">
      <c r="B29" s="45"/>
      <c r="C29" s="46"/>
      <c r="D29" s="19"/>
      <c r="E29" s="20"/>
      <c r="F29" s="20"/>
      <c r="G29" s="20"/>
      <c r="H29" s="20"/>
      <c r="I29" s="20"/>
      <c r="J29" s="20"/>
      <c r="K29" s="20"/>
      <c r="L29" s="20"/>
      <c r="M29" s="20"/>
      <c r="N29" s="20"/>
      <c r="O29" s="20"/>
      <c r="P29" s="20"/>
      <c r="Q29" s="23"/>
      <c r="R29" s="19"/>
      <c r="S29" s="20"/>
      <c r="T29" s="23"/>
      <c r="U29" s="20"/>
      <c r="V29" s="20"/>
      <c r="W29" s="23"/>
    </row>
    <row r="30" spans="2:23" ht="14.25">
      <c r="B30" s="45">
        <v>20</v>
      </c>
      <c r="C30" s="46">
        <v>60</v>
      </c>
      <c r="D30" s="19" t="s">
        <v>171</v>
      </c>
      <c r="E30" s="20"/>
      <c r="F30" s="20"/>
      <c r="G30" s="20"/>
      <c r="H30" s="20"/>
      <c r="I30" s="20"/>
      <c r="J30" s="20"/>
      <c r="K30" s="20"/>
      <c r="L30" s="20"/>
      <c r="M30" s="20"/>
      <c r="N30" s="20">
        <v>0</v>
      </c>
      <c r="O30" s="20"/>
      <c r="P30" s="20">
        <v>0</v>
      </c>
      <c r="Q30" s="23"/>
      <c r="R30" s="19"/>
      <c r="S30" s="20"/>
      <c r="T30" s="23"/>
      <c r="U30" s="20"/>
      <c r="V30" s="20"/>
      <c r="W30" s="23"/>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0"/>
      <c r="C32" s="41"/>
      <c r="D32" s="42" t="s">
        <v>172</v>
      </c>
      <c r="E32" s="43"/>
      <c r="F32" s="43"/>
      <c r="G32" s="43"/>
      <c r="H32" s="43"/>
      <c r="I32" s="43"/>
      <c r="J32" s="43"/>
      <c r="K32" s="43"/>
      <c r="L32" s="43"/>
      <c r="M32" s="43"/>
      <c r="N32" s="43"/>
      <c r="O32" s="43"/>
      <c r="P32" s="43"/>
      <c r="Q32" s="44"/>
      <c r="R32" s="42"/>
      <c r="S32" s="43"/>
      <c r="T32" s="44"/>
      <c r="U32" s="43"/>
      <c r="V32" s="43"/>
      <c r="W32" s="44"/>
    </row>
    <row r="33" spans="2:23" ht="14.25">
      <c r="B33" s="40">
        <v>30</v>
      </c>
      <c r="C33" s="41">
        <v>1</v>
      </c>
      <c r="D33" s="42" t="s">
        <v>173</v>
      </c>
      <c r="E33" s="43"/>
      <c r="F33" s="43"/>
      <c r="G33" s="43"/>
      <c r="H33" s="43"/>
      <c r="I33" s="43"/>
      <c r="J33" s="43"/>
      <c r="K33" s="43"/>
      <c r="L33" s="43"/>
      <c r="M33" s="43"/>
      <c r="N33" s="43">
        <v>0.75</v>
      </c>
      <c r="O33" s="43"/>
      <c r="P33" s="43">
        <v>4</v>
      </c>
      <c r="Q33" s="44"/>
      <c r="R33" s="42"/>
      <c r="S33" s="43"/>
      <c r="T33" s="44"/>
      <c r="U33" s="43"/>
      <c r="V33" s="43"/>
      <c r="W33" s="44"/>
    </row>
    <row r="34" spans="2:23" ht="15">
      <c r="B34" s="40"/>
      <c r="C34" s="41"/>
      <c r="D34" s="42" t="s">
        <v>174</v>
      </c>
      <c r="E34" s="43"/>
      <c r="F34" s="43"/>
      <c r="G34" s="43"/>
      <c r="H34" s="43"/>
      <c r="I34" s="43"/>
      <c r="J34" s="43"/>
      <c r="K34" s="43"/>
      <c r="L34" s="43"/>
      <c r="M34" s="43"/>
      <c r="N34" s="43"/>
      <c r="O34" s="43"/>
      <c r="P34" s="43"/>
      <c r="Q34" s="44"/>
      <c r="R34" s="42"/>
      <c r="S34" s="43"/>
      <c r="T34" s="44"/>
      <c r="U34" s="43"/>
      <c r="V34" s="43"/>
      <c r="W34" s="44"/>
    </row>
    <row r="35" spans="2:23" ht="14.25">
      <c r="B35" s="45"/>
      <c r="C35" s="45"/>
      <c r="D35" s="13" t="s">
        <v>175</v>
      </c>
      <c r="E35" s="20"/>
      <c r="F35" s="20"/>
      <c r="G35" s="20"/>
      <c r="H35" s="20"/>
      <c r="I35" s="20"/>
      <c r="J35" s="20"/>
      <c r="K35" s="20"/>
      <c r="L35" s="20"/>
      <c r="M35" s="20"/>
      <c r="N35" s="20"/>
      <c r="O35" s="20"/>
      <c r="P35" s="20"/>
      <c r="Q35" s="23"/>
      <c r="R35" s="19"/>
      <c r="S35" s="20"/>
      <c r="T35" s="23"/>
      <c r="U35" s="20"/>
      <c r="V35" s="20"/>
      <c r="W35" s="23"/>
    </row>
    <row r="36" spans="2:23" ht="14.25">
      <c r="B36" s="45">
        <v>40</v>
      </c>
      <c r="C36" s="45">
        <v>1</v>
      </c>
      <c r="D36" s="19" t="s">
        <v>176</v>
      </c>
      <c r="N36" s="13">
        <v>0.5</v>
      </c>
      <c r="P36" s="13">
        <v>4</v>
      </c>
      <c r="Q36" s="23"/>
      <c r="R36" s="19"/>
      <c r="S36" s="20"/>
      <c r="T36" s="23"/>
      <c r="U36" s="20"/>
      <c r="V36" s="20"/>
      <c r="W36" s="23"/>
    </row>
    <row r="37" spans="2:23" ht="15">
      <c r="B37" s="45"/>
      <c r="C37" s="46"/>
      <c r="D37" s="99" t="s">
        <v>174</v>
      </c>
      <c r="E37" s="20"/>
      <c r="F37" s="20"/>
      <c r="G37" s="20"/>
      <c r="H37" s="20"/>
      <c r="I37" s="20"/>
      <c r="J37" s="20"/>
      <c r="K37" s="20"/>
      <c r="L37" s="20"/>
      <c r="M37" s="20"/>
      <c r="N37" s="20"/>
      <c r="O37" s="20"/>
      <c r="P37" s="20"/>
      <c r="Q37" s="23"/>
      <c r="R37" s="19"/>
      <c r="S37" s="20"/>
      <c r="T37" s="23"/>
      <c r="U37" s="20"/>
      <c r="V37" s="20"/>
      <c r="W37" s="23"/>
    </row>
    <row r="38" spans="2:23" ht="14.25">
      <c r="B38" s="45"/>
      <c r="C38" s="46"/>
      <c r="D38" s="19" t="s">
        <v>179</v>
      </c>
      <c r="E38" s="20"/>
      <c r="F38" s="20"/>
      <c r="G38" s="20"/>
      <c r="H38" s="20"/>
      <c r="I38" s="20"/>
      <c r="J38" s="20"/>
      <c r="K38" s="20"/>
      <c r="L38" s="20"/>
      <c r="M38" s="20"/>
      <c r="N38" s="20"/>
      <c r="O38" s="20"/>
      <c r="P38" s="20"/>
      <c r="Q38" s="23"/>
      <c r="R38" s="19"/>
      <c r="S38" s="20"/>
      <c r="T38" s="23"/>
      <c r="U38" s="20"/>
      <c r="V38" s="20"/>
      <c r="W38" s="23"/>
    </row>
    <row r="39" spans="2:23" ht="14.25">
      <c r="B39" s="45">
        <v>50</v>
      </c>
      <c r="C39" s="46">
        <v>1</v>
      </c>
      <c r="D39" s="19" t="s">
        <v>180</v>
      </c>
      <c r="E39" s="20"/>
      <c r="F39" s="20"/>
      <c r="G39" s="20"/>
      <c r="H39" s="20"/>
      <c r="I39" s="20"/>
      <c r="J39" s="20"/>
      <c r="K39" s="20"/>
      <c r="L39" s="20"/>
      <c r="M39" s="20"/>
      <c r="N39" s="20">
        <v>0.5</v>
      </c>
      <c r="O39" s="20"/>
      <c r="P39" s="20">
        <v>12</v>
      </c>
      <c r="Q39" s="23"/>
      <c r="R39" s="19"/>
      <c r="S39" s="20"/>
      <c r="T39" s="23"/>
      <c r="U39" s="20"/>
      <c r="V39" s="20"/>
      <c r="W39" s="23"/>
    </row>
    <row r="40" spans="2:23" ht="14.25">
      <c r="B40" s="45"/>
      <c r="C40" s="46"/>
      <c r="D40" s="19" t="s">
        <v>181</v>
      </c>
      <c r="E40" s="20"/>
      <c r="F40" s="20"/>
      <c r="G40" s="20"/>
      <c r="H40" s="20"/>
      <c r="I40" s="20"/>
      <c r="J40" s="20"/>
      <c r="K40" s="20"/>
      <c r="L40" s="20"/>
      <c r="M40" s="20"/>
      <c r="N40" s="20"/>
      <c r="O40" s="20"/>
      <c r="P40" s="20"/>
      <c r="Q40" s="23"/>
      <c r="R40" s="19"/>
      <c r="S40" s="20"/>
      <c r="T40" s="23"/>
      <c r="U40" s="20"/>
      <c r="V40" s="20"/>
      <c r="W40" s="23"/>
    </row>
    <row r="41" spans="2:23" ht="14.25">
      <c r="B41" s="45"/>
      <c r="C41" s="19"/>
      <c r="D41" s="19" t="s">
        <v>182</v>
      </c>
      <c r="E41" s="20"/>
      <c r="F41" s="20"/>
      <c r="G41" s="20"/>
      <c r="H41" s="20"/>
      <c r="I41" s="20"/>
      <c r="J41" s="20"/>
      <c r="K41" s="20"/>
      <c r="L41" s="20"/>
      <c r="M41" s="20"/>
      <c r="N41" s="20"/>
      <c r="O41" s="20"/>
      <c r="P41" s="20"/>
      <c r="Q41" s="23"/>
      <c r="R41" s="19"/>
      <c r="S41" s="20"/>
      <c r="T41" s="23"/>
      <c r="U41" s="20"/>
      <c r="V41" s="20"/>
      <c r="W41" s="23"/>
    </row>
    <row r="42" spans="2:23" ht="15">
      <c r="B42" s="45"/>
      <c r="C42" s="19"/>
      <c r="D42" s="19" t="s">
        <v>174</v>
      </c>
      <c r="E42" s="20"/>
      <c r="F42" s="20"/>
      <c r="G42" s="20"/>
      <c r="H42" s="20"/>
      <c r="I42" s="20"/>
      <c r="J42" s="20"/>
      <c r="K42" s="20"/>
      <c r="L42" s="20"/>
      <c r="M42" s="20"/>
      <c r="N42" s="20"/>
      <c r="O42" s="20"/>
      <c r="P42" s="20"/>
      <c r="Q42" s="23"/>
      <c r="R42" s="19"/>
      <c r="S42" s="20"/>
      <c r="T42" s="23"/>
      <c r="U42" s="20"/>
      <c r="V42" s="20"/>
      <c r="W42" s="23"/>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0">
        <v>60</v>
      </c>
      <c r="C44" s="41">
        <v>60</v>
      </c>
      <c r="D44" s="42" t="s">
        <v>177</v>
      </c>
      <c r="E44" s="43"/>
      <c r="F44" s="43"/>
      <c r="G44" s="43"/>
      <c r="H44" s="43"/>
      <c r="I44" s="43"/>
      <c r="J44" s="43"/>
      <c r="K44" s="43"/>
      <c r="L44" s="43"/>
      <c r="M44" s="43"/>
      <c r="N44" s="43">
        <v>0.1</v>
      </c>
      <c r="O44" s="43"/>
      <c r="P44" s="43">
        <v>0</v>
      </c>
      <c r="Q44" s="44"/>
      <c r="R44" s="42"/>
      <c r="S44" s="43"/>
      <c r="T44" s="44"/>
      <c r="U44" s="43"/>
      <c r="V44" s="43"/>
      <c r="W44" s="44"/>
    </row>
    <row r="45" spans="2:23" ht="14.25">
      <c r="B45" s="40"/>
      <c r="C45" s="41"/>
      <c r="D45" s="42"/>
      <c r="E45" s="43"/>
      <c r="F45" s="43"/>
      <c r="G45" s="43"/>
      <c r="H45" s="43"/>
      <c r="I45" s="43"/>
      <c r="J45" s="43"/>
      <c r="K45" s="43"/>
      <c r="L45" s="43"/>
      <c r="M45" s="43"/>
      <c r="N45" s="43"/>
      <c r="O45" s="43"/>
      <c r="P45" s="43"/>
      <c r="Q45" s="44"/>
      <c r="R45" s="42"/>
      <c r="S45" s="43"/>
      <c r="T45" s="44"/>
      <c r="U45" s="43"/>
      <c r="V45" s="43"/>
      <c r="W45" s="44"/>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5">
        <v>70</v>
      </c>
      <c r="C47" s="46">
        <v>1</v>
      </c>
      <c r="D47" s="19" t="s">
        <v>178</v>
      </c>
      <c r="E47" s="20"/>
      <c r="F47" s="20"/>
      <c r="G47" s="20"/>
      <c r="H47" s="20"/>
      <c r="I47" s="20"/>
      <c r="J47" s="20"/>
      <c r="K47" s="20"/>
      <c r="L47" s="20"/>
      <c r="M47" s="20"/>
      <c r="N47" s="20">
        <v>0.75</v>
      </c>
      <c r="O47" s="20"/>
      <c r="P47" s="20">
        <v>12</v>
      </c>
      <c r="Q47" s="23"/>
      <c r="R47" s="19"/>
      <c r="S47" s="20"/>
      <c r="T47" s="23"/>
      <c r="U47" s="20"/>
      <c r="V47" s="20"/>
      <c r="W47" s="23"/>
    </row>
    <row r="48" spans="2:23" ht="15">
      <c r="B48" s="45"/>
      <c r="C48" s="46"/>
      <c r="D48" s="99" t="s">
        <v>174</v>
      </c>
      <c r="E48" s="20"/>
      <c r="F48" s="20"/>
      <c r="G48" s="20"/>
      <c r="H48" s="20"/>
      <c r="I48" s="20"/>
      <c r="J48" s="20"/>
      <c r="K48" s="20"/>
      <c r="L48" s="20"/>
      <c r="M48" s="20"/>
      <c r="N48" s="20"/>
      <c r="O48" s="20"/>
      <c r="P48" s="20"/>
      <c r="Q48" s="23"/>
      <c r="R48" s="19"/>
      <c r="S48" s="20"/>
      <c r="T48" s="23"/>
      <c r="U48" s="20"/>
      <c r="V48" s="20"/>
      <c r="W48" s="23"/>
    </row>
    <row r="49" spans="2:23" ht="14.25">
      <c r="B49" s="40">
        <v>80</v>
      </c>
      <c r="C49" s="41">
        <v>47</v>
      </c>
      <c r="D49" s="42" t="s">
        <v>183</v>
      </c>
      <c r="E49" s="43"/>
      <c r="F49" s="43"/>
      <c r="G49" s="43"/>
      <c r="H49" s="43"/>
      <c r="I49" s="43"/>
      <c r="J49" s="43"/>
      <c r="K49" s="43"/>
      <c r="L49" s="43"/>
      <c r="M49" s="43"/>
      <c r="N49" s="43">
        <v>0</v>
      </c>
      <c r="O49" s="43"/>
      <c r="P49" s="43">
        <v>0.75</v>
      </c>
      <c r="Q49" s="44"/>
      <c r="R49" s="42"/>
      <c r="S49" s="43"/>
      <c r="T49" s="44"/>
      <c r="U49" s="43"/>
      <c r="V49" s="43"/>
      <c r="W49" s="44"/>
    </row>
    <row r="50" spans="2:23" ht="14.25">
      <c r="B50" s="40"/>
      <c r="C50" s="41"/>
      <c r="D50" s="42" t="s">
        <v>184</v>
      </c>
      <c r="E50" s="43"/>
      <c r="F50" s="43"/>
      <c r="G50" s="43"/>
      <c r="H50" s="43"/>
      <c r="I50" s="43"/>
      <c r="J50" s="43"/>
      <c r="K50" s="43"/>
      <c r="L50" s="43"/>
      <c r="M50" s="43"/>
      <c r="N50" s="43"/>
      <c r="O50" s="43"/>
      <c r="P50" s="43"/>
      <c r="Q50" s="44"/>
      <c r="R50" s="42"/>
      <c r="S50" s="43"/>
      <c r="T50" s="44"/>
      <c r="U50" s="43"/>
      <c r="V50" s="43"/>
      <c r="W50" s="44"/>
    </row>
    <row r="51" spans="2:23" ht="14.25">
      <c r="B51" s="45">
        <v>90</v>
      </c>
      <c r="C51" s="46">
        <v>60</v>
      </c>
      <c r="D51" s="19" t="s">
        <v>67</v>
      </c>
      <c r="E51" s="20"/>
      <c r="F51" s="20"/>
      <c r="G51" s="20"/>
      <c r="H51" s="20"/>
      <c r="I51" s="20"/>
      <c r="J51" s="20"/>
      <c r="K51" s="20"/>
      <c r="L51" s="20"/>
      <c r="M51" s="20"/>
      <c r="N51" s="20">
        <v>0</v>
      </c>
      <c r="O51" s="20"/>
      <c r="P51" s="20">
        <v>0.45</v>
      </c>
      <c r="Q51" s="23"/>
      <c r="R51" s="19"/>
      <c r="S51" s="20"/>
      <c r="T51" s="23"/>
      <c r="U51" s="20"/>
      <c r="V51" s="20"/>
      <c r="W51" s="23"/>
    </row>
    <row r="52" spans="2:23" ht="15" thickBot="1">
      <c r="B52" s="47"/>
      <c r="C52" s="48"/>
      <c r="D52" s="28"/>
      <c r="E52" s="29"/>
      <c r="F52" s="29"/>
      <c r="G52" s="29"/>
      <c r="H52" s="29"/>
      <c r="I52" s="29"/>
      <c r="J52" s="29"/>
      <c r="K52" s="29"/>
      <c r="L52" s="29"/>
      <c r="M52" s="49" t="s">
        <v>24</v>
      </c>
      <c r="N52" s="29">
        <f>SUM(N27:N51)</f>
        <v>2.6</v>
      </c>
      <c r="O52" s="29"/>
      <c r="P52" s="29">
        <f>SUM(P27:P51)</f>
        <v>33.7</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B2:W114"/>
  <sheetViews>
    <sheetView zoomScale="110" zoomScaleNormal="110" workbookViewId="0" topLeftCell="A1">
      <selection activeCell="Q25" sqref="Q25"/>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9.140625" style="13" customWidth="1"/>
    <col min="17" max="17" width="7.1406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386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114247-00S</v>
      </c>
      <c r="E9" s="20"/>
      <c r="F9" s="20"/>
      <c r="G9" s="20"/>
      <c r="H9" s="20"/>
      <c r="I9" s="20"/>
      <c r="J9" s="20"/>
      <c r="K9" s="20"/>
      <c r="L9" s="20"/>
      <c r="M9" s="20"/>
      <c r="N9" s="24" t="s">
        <v>2</v>
      </c>
      <c r="O9" s="20"/>
      <c r="P9" s="130" t="str">
        <f>INDEX(BOM!O:O,MATCH($P$3,BOM!$P:$P,0),1)</f>
        <v>1/07/11</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ASSEMBLY,WAMCA</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114247-00S</v>
      </c>
      <c r="H19" s="13" t="str">
        <f>D11</f>
        <v>ASSEMBLY,WAMCA</v>
      </c>
      <c r="Q19" s="13" t="s">
        <v>536</v>
      </c>
    </row>
    <row r="20" spans="2:17" ht="14.25">
      <c r="B20" s="31"/>
      <c r="D20" s="13" t="s">
        <v>274</v>
      </c>
      <c r="H20" s="13" t="s">
        <v>207</v>
      </c>
      <c r="Q20" s="13" t="s">
        <v>145</v>
      </c>
    </row>
    <row r="21" spans="2:17" ht="14.25">
      <c r="B21" s="31"/>
      <c r="D21" s="13" t="s">
        <v>275</v>
      </c>
      <c r="H21" s="13" t="s">
        <v>276</v>
      </c>
      <c r="Q21" s="13" t="s">
        <v>536</v>
      </c>
    </row>
    <row r="22" spans="2:17" ht="14.25">
      <c r="B22" s="31"/>
      <c r="D22" s="13" t="s">
        <v>277</v>
      </c>
      <c r="H22" s="13" t="s">
        <v>278</v>
      </c>
      <c r="Q22" s="13" t="s">
        <v>536</v>
      </c>
    </row>
    <row r="23" spans="2:17" ht="14.25">
      <c r="B23" s="31"/>
      <c r="D23" s="13" t="s">
        <v>279</v>
      </c>
      <c r="H23" s="13" t="s">
        <v>280</v>
      </c>
      <c r="Q23" s="13" t="s">
        <v>536</v>
      </c>
    </row>
    <row r="24" spans="2:17" ht="14.25">
      <c r="B24" s="31"/>
      <c r="D24" s="13" t="s">
        <v>281</v>
      </c>
      <c r="H24" s="13" t="s">
        <v>282</v>
      </c>
      <c r="Q24" s="13" t="s">
        <v>536</v>
      </c>
    </row>
    <row r="25" spans="2:17" ht="14.25">
      <c r="B25" s="31"/>
      <c r="D25" s="13" t="s">
        <v>283</v>
      </c>
      <c r="H25" s="13" t="s">
        <v>284</v>
      </c>
      <c r="Q25" s="13" t="s">
        <v>39</v>
      </c>
    </row>
    <row r="26" spans="2:17" ht="14.25">
      <c r="B26" s="31"/>
      <c r="D26" s="13" t="s">
        <v>285</v>
      </c>
      <c r="H26" s="13" t="s">
        <v>286</v>
      </c>
      <c r="Q26" s="13" t="s">
        <v>39</v>
      </c>
    </row>
    <row r="27" spans="2:17" ht="14.25">
      <c r="B27" s="31"/>
      <c r="D27" s="13" t="s">
        <v>287</v>
      </c>
      <c r="H27" s="13" t="s">
        <v>288</v>
      </c>
      <c r="Q27" s="13" t="s">
        <v>39</v>
      </c>
    </row>
    <row r="28" ht="14.25">
      <c r="B28" s="31"/>
    </row>
    <row r="29" spans="2:3" ht="14.25">
      <c r="B29" s="31" t="s">
        <v>11</v>
      </c>
      <c r="C29" s="13" t="s">
        <v>15</v>
      </c>
    </row>
    <row r="30" spans="2:8" ht="14.25">
      <c r="B30" s="31" t="s">
        <v>11</v>
      </c>
      <c r="C30" s="33" t="s">
        <v>13</v>
      </c>
      <c r="D30" s="66" t="s">
        <v>289</v>
      </c>
      <c r="H30" s="13" t="s">
        <v>15</v>
      </c>
    </row>
    <row r="31" ht="14.25">
      <c r="B31" s="31"/>
    </row>
    <row r="32" spans="2:17" ht="14.25">
      <c r="B32" s="31" t="s">
        <v>11</v>
      </c>
      <c r="C32" s="13" t="s">
        <v>16</v>
      </c>
      <c r="Q32" s="13" t="s">
        <v>4</v>
      </c>
    </row>
    <row r="33" spans="2:17" ht="14.25">
      <c r="B33" s="31"/>
      <c r="C33" s="50" t="str">
        <f>INDEX(BOM!I:I,MATCH($P$3,BOM!$P:$P,0)+1,1)</f>
        <v>114248-00WS</v>
      </c>
      <c r="H33" s="50" t="str">
        <f>INDEX(BOM!J:J,MATCH($P$3,BOM!$P:$P,0)+1,1)</f>
        <v>WELDMENT, MC-A TUBE</v>
      </c>
      <c r="Q33" s="50">
        <f>INDEX(BOM!M:M,MATCH($P$3,BOM!$P:$P,0)+1,1)</f>
        <v>4</v>
      </c>
    </row>
    <row r="34" spans="2:17" ht="14.25">
      <c r="B34" s="31"/>
      <c r="C34" s="50" t="str">
        <f>INDEX(BOM!I:I,MATCH($P$3,BOM!$P:$P,0)+73,1)</f>
        <v>91525A145</v>
      </c>
      <c r="H34" s="50" t="str">
        <f>INDEX(BOM!J:J,MATCH($P$3,BOM!$P:$P,0)+73,1)</f>
        <v>(McM) WASHER, FENDER, 1/2 NOM ID, 1.5" OD</v>
      </c>
      <c r="Q34" s="50">
        <f>INDEX(BOM!M:M,MATCH($P$3,BOM!$P:$P,0)+73,1)</f>
        <v>64</v>
      </c>
    </row>
    <row r="35" spans="2:17" ht="14.25">
      <c r="B35" s="31"/>
      <c r="C35" s="50" t="str">
        <f>INDEX(BOM!I:I,MATCH($P$3,BOM!$P:$P,0)+74,1)</f>
        <v>C08C0320Z</v>
      </c>
      <c r="H35" s="50" t="str">
        <f>INDEX(BOM!J:J,MATCH($P$3,BOM!$P:$P,0)+74,1)</f>
        <v>HHCS, 1/2-13, 2.00 LG, ZINC PLATED</v>
      </c>
      <c r="Q35" s="50">
        <f>INDEX(BOM!M:M,MATCH($P$3,BOM!$P:$P,0)+74,1)</f>
        <v>64</v>
      </c>
    </row>
    <row r="36" spans="2:17" ht="14.25">
      <c r="B36" s="31"/>
      <c r="C36" s="50" t="str">
        <f>INDEX(BOM!I:I,MATCH($P$3,BOM!$P:$P,0)+75,1)</f>
        <v>G-1000</v>
      </c>
      <c r="H36" s="50" t="str">
        <f>INDEX(BOM!J:J,MATCH($P$3,BOM!$P:$P,0)+75,1)</f>
        <v>(NORCAL) GASKET, COPPER, 10" CF</v>
      </c>
      <c r="Q36" s="50">
        <f>INDEX(BOM!M:M,MATCH($P$3,BOM!$P:$P,0)+75,1)</f>
        <v>52</v>
      </c>
    </row>
    <row r="37" spans="2:17" ht="14.25">
      <c r="B37" s="31"/>
      <c r="C37" s="50" t="str">
        <f>INDEX(BOM!I:I,MATCH($P$3,BOM!$P:$P,0)+76,1)</f>
        <v>G-1200</v>
      </c>
      <c r="H37" s="50" t="str">
        <f>INDEX(BOM!J:J,MATCH($P$3,BOM!$P:$P,0)+76,1)</f>
        <v>(NORCAL) GASKET, COPPER, 12" CF</v>
      </c>
      <c r="Q37" s="50">
        <f>INDEX(BOM!M:M,MATCH($P$3,BOM!$P:$P,0)+76,1)</f>
        <v>20</v>
      </c>
    </row>
    <row r="38" spans="2:17" ht="14.25">
      <c r="B38" s="31"/>
      <c r="C38" s="50" t="str">
        <f>INDEX(BOM!I:I,MATCH($P$3,BOM!$P:$P,0)+77,1)</f>
        <v>1200-000N</v>
      </c>
      <c r="H38" s="50" t="str">
        <f>INDEX(BOM!J:J,MATCH($P$3,BOM!$P:$P,0)+77,1)</f>
        <v>(NORCAL) BLANK, CF, 12" OD</v>
      </c>
      <c r="Q38" s="50">
        <f>INDEX(BOM!M:M,MATCH($P$3,BOM!$P:$P,0)+77,1)</f>
        <v>20</v>
      </c>
    </row>
    <row r="39" spans="2:17" ht="14.25">
      <c r="B39" s="31"/>
      <c r="C39" s="50" t="str">
        <f>INDEX(BOM!I:I,MATCH($P$3,BOM!$P:$P,0)+78,1)</f>
        <v>1000-000N</v>
      </c>
      <c r="H39" s="50" t="str">
        <f>INDEX(BOM!J:J,MATCH($P$3,BOM!$P:$P,0)+78,1)</f>
        <v>(NORCAL) BLANK, CF, 10" OD</v>
      </c>
      <c r="Q39" s="50">
        <f>INDEX(BOM!M:M,MATCH($P$3,BOM!$P:$P,0)+78,1)</f>
        <v>52</v>
      </c>
    </row>
    <row r="40" spans="2:17" ht="14.25">
      <c r="B40" s="31"/>
      <c r="C40" s="50" t="str">
        <f>INDEX(BOM!I:I,MATCH($P$3,BOM!$P:$P,0)+79,1)</f>
        <v>G05F0000Z</v>
      </c>
      <c r="H40" s="50" t="str">
        <f>INDEX(BOM!J:J,MATCH($P$3,BOM!$P:$P,0)+79,1)</f>
        <v>HEX NUT, 5/16-24, ZINC PLATED</v>
      </c>
      <c r="Q40" s="50">
        <f>INDEX(BOM!M:M,MATCH($P$3,BOM!$P:$P,0)+79,1)</f>
        <v>1888</v>
      </c>
    </row>
    <row r="41" spans="2:17" ht="14.25">
      <c r="B41" s="31"/>
      <c r="C41" s="50" t="str">
        <f>INDEX(BOM!I:I,MATCH($P$3,BOM!$P:$P,0)+80,1)</f>
        <v>F0500000Z</v>
      </c>
      <c r="H41" s="50" t="str">
        <f>INDEX(BOM!J:J,MATCH($P$3,BOM!$P:$P,0)+80,1)</f>
        <v>WASHER, 5/16 NOM ID, 0.065 THK, ZINC PLATED</v>
      </c>
      <c r="Q41" s="50">
        <f>INDEX(BOM!M:M,MATCH($P$3,BOM!$P:$P,0)+80,1)</f>
        <v>3776</v>
      </c>
    </row>
    <row r="42" spans="2:17" ht="14.25">
      <c r="B42" s="31"/>
      <c r="C42" s="50" t="str">
        <f>INDEX(BOM!I:I,MATCH($P$3,BOM!$P:$P,0)+81,1)</f>
        <v>C05F0400Z</v>
      </c>
      <c r="H42" s="50" t="str">
        <f>INDEX(BOM!J:J,MATCH($P$3,BOM!$P:$P,0)+81,1)</f>
        <v>HHCS, 5/16-24, 2.50 LG, ZINC PLATED</v>
      </c>
      <c r="Q42" s="50">
        <f>INDEX(BOM!M:M,MATCH($P$3,BOM!$P:$P,0)+81,1)</f>
        <v>1248</v>
      </c>
    </row>
    <row r="43" spans="2:17" ht="14.25">
      <c r="B43" s="31"/>
      <c r="C43" s="50" t="str">
        <f>INDEX(BOM!I:I,MATCH($P$3,BOM!$P:$P,0)+82,1)</f>
        <v>C05F0360Z</v>
      </c>
      <c r="H43" s="50" t="str">
        <f>INDEX(BOM!J:J,MATCH($P$3,BOM!$P:$P,0)+82,1)</f>
        <v>HHCS, 5/16-24, 2.25 LG, ZINC PLATED</v>
      </c>
      <c r="Q43" s="50">
        <f>INDEX(BOM!M:M,MATCH($P$3,BOM!$P:$P,0)+82,1)</f>
        <v>80</v>
      </c>
    </row>
    <row r="44" spans="2:17" ht="14.25">
      <c r="B44" s="31"/>
      <c r="C44" s="50" t="str">
        <f>INDEX(BOM!I:I,MATCH($P$3,BOM!$P:$P,0)+83,1)</f>
        <v>C05F0440Z</v>
      </c>
      <c r="H44" s="50" t="str">
        <f>INDEX(BOM!J:J,MATCH($P$3,BOM!$P:$P,0)+83,1)</f>
        <v>HHCS, 5/16-24, 2.75 LG, ZINC PLATED</v>
      </c>
      <c r="Q44" s="50">
        <f>INDEX(BOM!M:M,MATCH($P$3,BOM!$P:$P,0)+83,1)</f>
        <v>640</v>
      </c>
    </row>
    <row r="45" spans="2:17" ht="14.25">
      <c r="B45" s="31"/>
      <c r="C45" s="50" t="str">
        <f>INDEX(BOM!I:I,MATCH($P$3,BOM!$P:$P,0)+84,1)</f>
        <v>L0800000Z</v>
      </c>
      <c r="H45" s="50" t="str">
        <f>INDEX(BOM!J:J,MATCH($P$3,BOM!$P:$P,0)+84,1)</f>
        <v>WASHER, LOCK, 1/2" NOM ID, ZINC PLATED</v>
      </c>
      <c r="Q45" s="50">
        <f>INDEX(BOM!M:M,MATCH($P$3,BOM!$P:$P,0)+84,1)</f>
        <v>64</v>
      </c>
    </row>
    <row r="46" spans="2:17" ht="14.25">
      <c r="B46" s="31"/>
      <c r="C46" s="50" t="str">
        <f>INDEX(BOM!I:I,MATCH($P$3,BOM!$P:$P,0)+85,1)</f>
        <v>114386-00WM</v>
      </c>
      <c r="H46" s="50" t="str">
        <f>INDEX(BOM!J:J,MATCH($P$3,BOM!$P:$P,0)+85,1)</f>
        <v>WELDMENT, MCA STAND, SINGLE SUPPORT</v>
      </c>
      <c r="Q46" s="50">
        <f>INDEX(BOM!M:M,MATCH($P$3,BOM!$P:$P,0)+85,1)</f>
        <v>16</v>
      </c>
    </row>
    <row r="47" spans="2:17" ht="14.25">
      <c r="B47" s="31"/>
      <c r="C47" s="50" t="str">
        <f>INDEX(BOM!I:I,MATCH($P$3,BOM!$P:$P,0)+94,1)</f>
        <v>114499-00A</v>
      </c>
      <c r="H47" s="50" t="str">
        <f>INDEX(BOM!J:J,MATCH($P$3,BOM!$P:$P,0)+94,1)</f>
        <v>Blank, 68.50" OD, FLAT FACED</v>
      </c>
      <c r="Q47" s="50">
        <f>INDEX(BOM!M:M,MATCH($P$3,BOM!$P:$P,0)+94,1)</f>
        <v>4</v>
      </c>
    </row>
    <row r="48" spans="2:17" ht="14.25">
      <c r="B48" s="31"/>
      <c r="C48" s="50" t="str">
        <f>INDEX(BOM!I:I,MATCH($P$3,BOM!$P:$P,0)+95,1)</f>
        <v>114502-00WA</v>
      </c>
      <c r="H48" s="50" t="str">
        <f>INDEX(BOM!J:J,MATCH($P$3,BOM!$P:$P,0)+95,1)</f>
        <v>BLANK, SHIPPING, 92.25 OD, FLAT FACED</v>
      </c>
      <c r="Q48" s="50">
        <f>INDEX(BOM!M:M,MATCH($P$3,BOM!$P:$P,0)+95,1)</f>
        <v>4</v>
      </c>
    </row>
    <row r="49" spans="2:17" ht="14.25">
      <c r="B49" s="31"/>
      <c r="C49" s="50" t="str">
        <f>INDEX(BOM!I:I,MATCH($P$3,BOM!$P:$P,0)+115,1)</f>
        <v>114508-00S</v>
      </c>
      <c r="H49" s="50" t="str">
        <f>INDEX(BOM!J:J,MATCH($P$3,BOM!$P:$P,0)+115,1)</f>
        <v>TEST FLANGE 80.25</v>
      </c>
      <c r="Q49" s="50">
        <f>INDEX(BOM!M:M,MATCH($P$3,BOM!$P:$P,0)+115,1)</f>
        <v>4</v>
      </c>
    </row>
    <row r="50" spans="2:17" ht="14.25">
      <c r="B50" s="31"/>
      <c r="C50" s="50" t="str">
        <f>INDEX(BOM!I:I,MATCH($P$3,BOM!$P:$P,0)+128,1)</f>
        <v>114514-00V</v>
      </c>
      <c r="H50" s="50" t="str">
        <f>INDEX(BOM!J:J,MATCH($P$3,BOM!$P:$P,0)+128,1)</f>
        <v>GASKET, 68.50 OD, VITON</v>
      </c>
      <c r="Q50" s="50">
        <f>INDEX(BOM!M:M,MATCH($P$3,BOM!$P:$P,0)+128,1)</f>
        <v>4</v>
      </c>
    </row>
    <row r="51" spans="2:17" ht="14.25">
      <c r="B51" s="31"/>
      <c r="C51" s="50" t="str">
        <f>INDEX(BOM!I:I,MATCH($P$3,BOM!$P:$P,0)+129,1)</f>
        <v>114513-00V</v>
      </c>
      <c r="H51" s="50" t="str">
        <f>INDEX(BOM!J:J,MATCH($P$3,BOM!$P:$P,0)+129,1)</f>
        <v>GASKET, 92.25 OD, VITON</v>
      </c>
      <c r="Q51" s="50">
        <f>INDEX(BOM!M:M,MATCH($P$3,BOM!$P:$P,0)+129,1)</f>
        <v>4</v>
      </c>
    </row>
    <row r="52" spans="2:17" ht="14.25">
      <c r="B52" s="31"/>
      <c r="C52" s="50"/>
      <c r="H52" s="50" t="s">
        <v>294</v>
      </c>
      <c r="Q52" s="50" t="s">
        <v>295</v>
      </c>
    </row>
    <row r="53" ht="15" thickBot="1">
      <c r="B53" s="31"/>
    </row>
    <row r="54" spans="2:23" ht="15" thickBot="1">
      <c r="B54" s="34" t="s">
        <v>17</v>
      </c>
      <c r="C54" s="35" t="s">
        <v>18</v>
      </c>
      <c r="D54" s="36" t="s">
        <v>19</v>
      </c>
      <c r="E54" s="37"/>
      <c r="F54" s="37"/>
      <c r="G54" s="37"/>
      <c r="H54" s="37"/>
      <c r="I54" s="37"/>
      <c r="J54" s="37"/>
      <c r="K54" s="37"/>
      <c r="L54" s="37"/>
      <c r="M54" s="37"/>
      <c r="N54" s="37" t="s">
        <v>20</v>
      </c>
      <c r="O54" s="37"/>
      <c r="P54" s="37" t="s">
        <v>21</v>
      </c>
      <c r="Q54" s="38"/>
      <c r="R54" s="36"/>
      <c r="S54" s="39" t="s">
        <v>22</v>
      </c>
      <c r="T54" s="38"/>
      <c r="U54" s="37"/>
      <c r="V54" s="39" t="s">
        <v>23</v>
      </c>
      <c r="W54" s="38"/>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v>10</v>
      </c>
      <c r="C56" s="41">
        <v>60</v>
      </c>
      <c r="D56" s="42" t="s">
        <v>303</v>
      </c>
      <c r="E56" s="43"/>
      <c r="F56" s="43"/>
      <c r="G56" s="43"/>
      <c r="H56" s="43"/>
      <c r="I56" s="43"/>
      <c r="J56" s="43"/>
      <c r="K56" s="43"/>
      <c r="L56" s="43"/>
      <c r="M56" s="43"/>
      <c r="N56" s="43">
        <v>0</v>
      </c>
      <c r="O56" s="43"/>
      <c r="P56" s="43">
        <v>1</v>
      </c>
      <c r="Q56" s="44"/>
      <c r="R56" s="42"/>
      <c r="S56" s="43"/>
      <c r="T56" s="44"/>
      <c r="U56" s="43"/>
      <c r="V56" s="43"/>
      <c r="W56" s="44"/>
    </row>
    <row r="57" spans="2:23" ht="14.25">
      <c r="B57" s="40"/>
      <c r="C57" s="41"/>
      <c r="D57" s="42"/>
      <c r="E57" s="43"/>
      <c r="F57" s="43"/>
      <c r="G57" s="43"/>
      <c r="H57" s="43"/>
      <c r="I57" s="43"/>
      <c r="J57" s="43"/>
      <c r="K57" s="43"/>
      <c r="L57" s="43"/>
      <c r="M57" s="43"/>
      <c r="N57" s="43"/>
      <c r="O57" s="43"/>
      <c r="P57" s="43"/>
      <c r="Q57" s="44"/>
      <c r="R57" s="42"/>
      <c r="S57" s="43"/>
      <c r="T57" s="44"/>
      <c r="U57" s="43"/>
      <c r="V57" s="43"/>
      <c r="W57" s="44"/>
    </row>
    <row r="58" spans="2:23" ht="14.25">
      <c r="B58" s="45"/>
      <c r="C58" s="98"/>
      <c r="R58" s="19"/>
      <c r="S58" s="20"/>
      <c r="T58" s="23"/>
      <c r="U58" s="20"/>
      <c r="V58" s="20"/>
      <c r="W58" s="23"/>
    </row>
    <row r="59" spans="2:23" ht="14.25">
      <c r="B59" s="45">
        <v>20</v>
      </c>
      <c r="C59" s="98">
        <v>30</v>
      </c>
      <c r="D59" s="13" t="s">
        <v>304</v>
      </c>
      <c r="N59" s="13">
        <v>0.5</v>
      </c>
      <c r="P59" s="13">
        <v>6</v>
      </c>
      <c r="R59" s="19"/>
      <c r="S59" s="20"/>
      <c r="T59" s="23"/>
      <c r="U59" s="20"/>
      <c r="V59" s="20"/>
      <c r="W59" s="23"/>
    </row>
    <row r="60" spans="2:23" ht="14.25">
      <c r="B60" s="45"/>
      <c r="C60" s="98"/>
      <c r="R60" s="19"/>
      <c r="S60" s="20"/>
      <c r="T60" s="23"/>
      <c r="U60" s="20"/>
      <c r="V60" s="20"/>
      <c r="W60" s="23"/>
    </row>
    <row r="61" spans="2:23" ht="14.25">
      <c r="B61" s="40"/>
      <c r="C61" s="41"/>
      <c r="D61" s="42"/>
      <c r="E61" s="43"/>
      <c r="F61" s="43"/>
      <c r="G61" s="43"/>
      <c r="H61" s="43"/>
      <c r="I61" s="43"/>
      <c r="J61" s="43"/>
      <c r="K61" s="43"/>
      <c r="L61" s="43"/>
      <c r="M61" s="43"/>
      <c r="N61" s="43"/>
      <c r="O61" s="43"/>
      <c r="P61" s="43"/>
      <c r="Q61" s="44"/>
      <c r="R61" s="42"/>
      <c r="S61" s="43"/>
      <c r="T61" s="44"/>
      <c r="U61" s="43"/>
      <c r="V61" s="43"/>
      <c r="W61" s="44"/>
    </row>
    <row r="62" spans="2:23" ht="14.25">
      <c r="B62" s="40">
        <v>30</v>
      </c>
      <c r="C62" s="41">
        <v>20</v>
      </c>
      <c r="D62" s="42" t="s">
        <v>290</v>
      </c>
      <c r="E62" s="43"/>
      <c r="F62" s="43"/>
      <c r="G62" s="43"/>
      <c r="H62" s="43"/>
      <c r="I62" s="43"/>
      <c r="J62" s="43"/>
      <c r="K62" s="43"/>
      <c r="L62" s="43"/>
      <c r="M62" s="43"/>
      <c r="N62" s="43">
        <v>0.25</v>
      </c>
      <c r="O62" s="43"/>
      <c r="P62" s="43">
        <v>6</v>
      </c>
      <c r="Q62" s="44"/>
      <c r="R62" s="42"/>
      <c r="S62" s="43"/>
      <c r="T62" s="44"/>
      <c r="U62" s="43"/>
      <c r="V62" s="43"/>
      <c r="W62" s="44"/>
    </row>
    <row r="63" spans="2:23" ht="14.25">
      <c r="B63" s="40"/>
      <c r="C63" s="41"/>
      <c r="D63" s="42"/>
      <c r="E63" s="43"/>
      <c r="F63" s="43"/>
      <c r="G63" s="43"/>
      <c r="H63" s="43"/>
      <c r="I63" s="43"/>
      <c r="J63" s="43"/>
      <c r="K63" s="43"/>
      <c r="L63" s="43"/>
      <c r="M63" s="43"/>
      <c r="N63" s="43"/>
      <c r="O63" s="43"/>
      <c r="P63" s="43"/>
      <c r="Q63" s="44"/>
      <c r="R63" s="42"/>
      <c r="S63" s="43"/>
      <c r="T63" s="44"/>
      <c r="U63" s="43"/>
      <c r="V63" s="43"/>
      <c r="W63" s="44"/>
    </row>
    <row r="64" spans="2:23" ht="14.25">
      <c r="B64" s="45"/>
      <c r="C64" s="46"/>
      <c r="D64" s="19"/>
      <c r="E64" s="20"/>
      <c r="F64" s="20"/>
      <c r="G64" s="20"/>
      <c r="H64" s="20"/>
      <c r="I64" s="20"/>
      <c r="J64" s="20"/>
      <c r="K64" s="20"/>
      <c r="L64" s="20"/>
      <c r="M64" s="20"/>
      <c r="N64" s="20"/>
      <c r="O64" s="20"/>
      <c r="P64" s="20"/>
      <c r="Q64" s="23"/>
      <c r="R64" s="19"/>
      <c r="S64" s="20"/>
      <c r="T64" s="23"/>
      <c r="U64" s="20"/>
      <c r="V64" s="20"/>
      <c r="W64" s="23"/>
    </row>
    <row r="65" spans="2:23" ht="14.25">
      <c r="B65" s="45">
        <v>40</v>
      </c>
      <c r="C65" s="46">
        <v>60</v>
      </c>
      <c r="D65" s="19" t="s">
        <v>291</v>
      </c>
      <c r="E65" s="20"/>
      <c r="F65" s="20"/>
      <c r="G65" s="20"/>
      <c r="H65" s="20"/>
      <c r="I65" s="20"/>
      <c r="J65" s="20"/>
      <c r="K65" s="20"/>
      <c r="L65" s="20"/>
      <c r="M65" s="20"/>
      <c r="N65" s="20">
        <v>0.1</v>
      </c>
      <c r="O65" s="20"/>
      <c r="P65" s="20">
        <v>1</v>
      </c>
      <c r="Q65" s="23"/>
      <c r="R65" s="19"/>
      <c r="S65" s="20"/>
      <c r="T65" s="23"/>
      <c r="U65" s="20"/>
      <c r="V65" s="20"/>
      <c r="W65" s="23"/>
    </row>
    <row r="66" spans="2:23" ht="14.25">
      <c r="B66" s="45"/>
      <c r="C66" s="46"/>
      <c r="D66" s="19"/>
      <c r="E66" s="20"/>
      <c r="F66" s="20"/>
      <c r="G66" s="20"/>
      <c r="H66" s="20"/>
      <c r="I66" s="20"/>
      <c r="J66" s="20"/>
      <c r="K66" s="20"/>
      <c r="L66" s="20"/>
      <c r="M66" s="20"/>
      <c r="N66" s="20"/>
      <c r="O66" s="20"/>
      <c r="P66" s="20"/>
      <c r="Q66" s="23"/>
      <c r="R66" s="19"/>
      <c r="S66" s="20"/>
      <c r="T66" s="23"/>
      <c r="U66" s="20"/>
      <c r="V66" s="20"/>
      <c r="W66" s="23"/>
    </row>
    <row r="67" spans="2:23" ht="14.25">
      <c r="B67" s="40"/>
      <c r="C67" s="41"/>
      <c r="D67" s="42"/>
      <c r="E67" s="43"/>
      <c r="F67" s="43"/>
      <c r="G67" s="43"/>
      <c r="H67" s="43"/>
      <c r="I67" s="43"/>
      <c r="J67" s="43"/>
      <c r="K67" s="43"/>
      <c r="L67" s="43"/>
      <c r="M67" s="43"/>
      <c r="N67" s="43"/>
      <c r="O67" s="43"/>
      <c r="P67" s="43"/>
      <c r="Q67" s="44"/>
      <c r="R67" s="42"/>
      <c r="S67" s="43"/>
      <c r="T67" s="44"/>
      <c r="U67" s="43"/>
      <c r="V67" s="43"/>
      <c r="W67" s="44"/>
    </row>
    <row r="68" spans="2:23" ht="14.25">
      <c r="B68" s="40">
        <v>50</v>
      </c>
      <c r="C68" s="41">
        <v>47</v>
      </c>
      <c r="D68" s="42" t="s">
        <v>292</v>
      </c>
      <c r="E68" s="43"/>
      <c r="F68" s="43"/>
      <c r="G68" s="43"/>
      <c r="H68" s="43"/>
      <c r="I68" s="43"/>
      <c r="J68" s="43"/>
      <c r="K68" s="43"/>
      <c r="L68" s="43"/>
      <c r="M68" s="43"/>
      <c r="N68" s="43">
        <v>0.1</v>
      </c>
      <c r="O68" s="43"/>
      <c r="P68" s="43">
        <v>4</v>
      </c>
      <c r="Q68" s="44"/>
      <c r="R68" s="42"/>
      <c r="S68" s="43"/>
      <c r="T68" s="44"/>
      <c r="U68" s="43"/>
      <c r="V68" s="43"/>
      <c r="W68" s="44"/>
    </row>
    <row r="69" spans="2:23" ht="14.25">
      <c r="B69" s="40"/>
      <c r="C69" s="41"/>
      <c r="D69" s="42" t="s">
        <v>298</v>
      </c>
      <c r="E69" s="43"/>
      <c r="F69" s="43"/>
      <c r="G69" s="43"/>
      <c r="H69" s="43"/>
      <c r="I69" s="43"/>
      <c r="J69" s="43"/>
      <c r="K69" s="43"/>
      <c r="L69" s="43"/>
      <c r="M69" s="43"/>
      <c r="N69" s="43"/>
      <c r="O69" s="43"/>
      <c r="P69" s="43"/>
      <c r="Q69" s="44"/>
      <c r="R69" s="42"/>
      <c r="S69" s="43"/>
      <c r="T69" s="44"/>
      <c r="U69" s="43"/>
      <c r="V69" s="43"/>
      <c r="W69" s="44"/>
    </row>
    <row r="70" spans="2:23" ht="14.25">
      <c r="B70" s="45"/>
      <c r="C70" s="46"/>
      <c r="D70" s="19"/>
      <c r="E70" s="20"/>
      <c r="F70" s="20"/>
      <c r="G70" s="20"/>
      <c r="H70" s="20"/>
      <c r="I70" s="20"/>
      <c r="J70" s="20"/>
      <c r="K70" s="20"/>
      <c r="L70" s="20"/>
      <c r="M70" s="20"/>
      <c r="N70" s="20"/>
      <c r="O70" s="20"/>
      <c r="P70" s="20"/>
      <c r="Q70" s="23"/>
      <c r="R70" s="19"/>
      <c r="S70" s="20"/>
      <c r="T70" s="23"/>
      <c r="U70" s="20"/>
      <c r="V70" s="20"/>
      <c r="W70" s="23"/>
    </row>
    <row r="71" spans="2:23" ht="14.25">
      <c r="B71" s="45">
        <v>60</v>
      </c>
      <c r="C71" s="46">
        <v>30</v>
      </c>
      <c r="D71" s="19" t="s">
        <v>296</v>
      </c>
      <c r="E71" s="20"/>
      <c r="F71" s="20"/>
      <c r="G71" s="20"/>
      <c r="H71" s="20"/>
      <c r="I71" s="20"/>
      <c r="J71" s="20"/>
      <c r="K71" s="20"/>
      <c r="L71" s="20"/>
      <c r="M71" s="20"/>
      <c r="N71" s="20">
        <v>0.75</v>
      </c>
      <c r="O71" s="20"/>
      <c r="P71" s="20">
        <v>8</v>
      </c>
      <c r="Q71" s="23"/>
      <c r="R71" s="19"/>
      <c r="S71" s="20"/>
      <c r="T71" s="23"/>
      <c r="U71" s="20"/>
      <c r="V71" s="20"/>
      <c r="W71" s="23"/>
    </row>
    <row r="72" spans="2:23" ht="14.25">
      <c r="B72" s="45"/>
      <c r="C72" s="46"/>
      <c r="D72" s="19"/>
      <c r="E72" s="20"/>
      <c r="F72" s="20"/>
      <c r="G72" s="20"/>
      <c r="H72" s="20"/>
      <c r="I72" s="20"/>
      <c r="J72" s="20"/>
      <c r="K72" s="20"/>
      <c r="L72" s="20"/>
      <c r="M72" s="20"/>
      <c r="N72" s="20"/>
      <c r="O72" s="20"/>
      <c r="P72" s="20"/>
      <c r="Q72" s="23"/>
      <c r="R72" s="19"/>
      <c r="S72" s="20"/>
      <c r="T72" s="23"/>
      <c r="U72" s="20"/>
      <c r="V72" s="20"/>
      <c r="W72" s="23"/>
    </row>
    <row r="73" spans="2:23" ht="14.25">
      <c r="B73" s="40"/>
      <c r="C73" s="41"/>
      <c r="D73" s="42"/>
      <c r="E73" s="43"/>
      <c r="F73" s="43"/>
      <c r="G73" s="43"/>
      <c r="H73" s="43"/>
      <c r="I73" s="43"/>
      <c r="J73" s="43"/>
      <c r="K73" s="43"/>
      <c r="L73" s="43"/>
      <c r="M73" s="43"/>
      <c r="N73" s="43"/>
      <c r="O73" s="43"/>
      <c r="P73" s="43"/>
      <c r="Q73" s="44"/>
      <c r="R73" s="42"/>
      <c r="S73" s="43"/>
      <c r="T73" s="44"/>
      <c r="U73" s="43"/>
      <c r="V73" s="43"/>
      <c r="W73" s="44"/>
    </row>
    <row r="74" spans="2:23" ht="14.25">
      <c r="B74" s="40">
        <v>70</v>
      </c>
      <c r="C74" s="41">
        <v>20</v>
      </c>
      <c r="D74" s="42" t="s">
        <v>293</v>
      </c>
      <c r="E74" s="43"/>
      <c r="F74" s="43"/>
      <c r="G74" s="43"/>
      <c r="H74" s="43"/>
      <c r="I74" s="43"/>
      <c r="J74" s="43"/>
      <c r="K74" s="43"/>
      <c r="L74" s="43"/>
      <c r="M74" s="43"/>
      <c r="N74" s="43">
        <v>0.5</v>
      </c>
      <c r="O74" s="43"/>
      <c r="P74" s="43">
        <v>16</v>
      </c>
      <c r="Q74" s="44"/>
      <c r="R74" s="42"/>
      <c r="S74" s="43"/>
      <c r="T74" s="44"/>
      <c r="U74" s="43"/>
      <c r="V74" s="43"/>
      <c r="W74" s="44"/>
    </row>
    <row r="75" spans="2:23" ht="14.25">
      <c r="B75" s="40"/>
      <c r="C75" s="41"/>
      <c r="D75" s="42"/>
      <c r="E75" s="43"/>
      <c r="F75" s="43"/>
      <c r="G75" s="43"/>
      <c r="H75" s="43"/>
      <c r="I75" s="43"/>
      <c r="J75" s="43"/>
      <c r="K75" s="43"/>
      <c r="L75" s="43"/>
      <c r="M75" s="43"/>
      <c r="N75" s="43"/>
      <c r="O75" s="43"/>
      <c r="P75" s="43"/>
      <c r="Q75" s="44"/>
      <c r="R75" s="42"/>
      <c r="S75" s="43"/>
      <c r="T75" s="44"/>
      <c r="U75" s="43"/>
      <c r="V75" s="43"/>
      <c r="W75" s="44"/>
    </row>
    <row r="76" spans="2:23" ht="14.25">
      <c r="B76" s="45"/>
      <c r="C76" s="46"/>
      <c r="D76" s="19"/>
      <c r="E76" s="20"/>
      <c r="F76" s="20"/>
      <c r="G76" s="20"/>
      <c r="H76" s="20"/>
      <c r="I76" s="20"/>
      <c r="J76" s="20"/>
      <c r="K76" s="20"/>
      <c r="L76" s="20"/>
      <c r="M76" s="20"/>
      <c r="N76" s="20"/>
      <c r="O76" s="20"/>
      <c r="P76" s="20"/>
      <c r="Q76" s="23"/>
      <c r="R76" s="19"/>
      <c r="S76" s="20"/>
      <c r="T76" s="23"/>
      <c r="U76" s="20"/>
      <c r="V76" s="20"/>
      <c r="W76" s="23"/>
    </row>
    <row r="77" spans="2:23" ht="14.25">
      <c r="B77" s="45">
        <v>80</v>
      </c>
      <c r="C77" s="46">
        <v>60</v>
      </c>
      <c r="D77" s="19" t="s">
        <v>297</v>
      </c>
      <c r="E77" s="20"/>
      <c r="F77" s="20"/>
      <c r="G77" s="20"/>
      <c r="H77" s="20"/>
      <c r="I77" s="20"/>
      <c r="J77" s="20"/>
      <c r="K77" s="20"/>
      <c r="L77" s="20"/>
      <c r="M77" s="20"/>
      <c r="N77" s="20">
        <v>0</v>
      </c>
      <c r="O77" s="20"/>
      <c r="P77" s="20">
        <v>0</v>
      </c>
      <c r="Q77" s="23"/>
      <c r="R77" s="19"/>
      <c r="S77" s="20"/>
      <c r="T77" s="23"/>
      <c r="U77" s="20"/>
      <c r="V77" s="20"/>
      <c r="W77" s="23"/>
    </row>
    <row r="78" spans="2:23" ht="14.25">
      <c r="B78" s="45"/>
      <c r="C78" s="46"/>
      <c r="D78" s="19"/>
      <c r="E78" s="20"/>
      <c r="F78" s="20"/>
      <c r="G78" s="20"/>
      <c r="H78" s="20"/>
      <c r="I78" s="20"/>
      <c r="J78" s="20"/>
      <c r="K78" s="20"/>
      <c r="L78" s="20"/>
      <c r="M78" s="20"/>
      <c r="N78" s="20"/>
      <c r="O78" s="20"/>
      <c r="P78" s="20"/>
      <c r="Q78" s="23"/>
      <c r="R78" s="19"/>
      <c r="S78" s="20"/>
      <c r="T78" s="23"/>
      <c r="U78" s="20"/>
      <c r="V78" s="20"/>
      <c r="W78" s="23"/>
    </row>
    <row r="79" spans="2:23" ht="14.25">
      <c r="B79" s="40"/>
      <c r="C79" s="41"/>
      <c r="D79" s="42"/>
      <c r="E79" s="43"/>
      <c r="F79" s="43"/>
      <c r="G79" s="43"/>
      <c r="H79" s="43"/>
      <c r="I79" s="43"/>
      <c r="J79" s="43"/>
      <c r="K79" s="43"/>
      <c r="L79" s="43"/>
      <c r="M79" s="43"/>
      <c r="N79" s="43"/>
      <c r="O79" s="43"/>
      <c r="P79" s="43"/>
      <c r="Q79" s="44"/>
      <c r="R79" s="42"/>
      <c r="S79" s="43"/>
      <c r="T79" s="44"/>
      <c r="U79" s="43"/>
      <c r="V79" s="43"/>
      <c r="W79" s="44"/>
    </row>
    <row r="80" spans="2:23" ht="14.25">
      <c r="B80" s="40">
        <v>90</v>
      </c>
      <c r="C80" s="41">
        <v>20</v>
      </c>
      <c r="D80" s="42" t="s">
        <v>301</v>
      </c>
      <c r="E80" s="43"/>
      <c r="F80" s="43"/>
      <c r="G80" s="43"/>
      <c r="H80" s="43"/>
      <c r="I80" s="43"/>
      <c r="J80" s="43"/>
      <c r="K80" s="43"/>
      <c r="L80" s="43"/>
      <c r="M80" s="43"/>
      <c r="N80" s="43">
        <v>0.5</v>
      </c>
      <c r="O80" s="43"/>
      <c r="P80" s="43">
        <v>8</v>
      </c>
      <c r="Q80" s="44"/>
      <c r="R80" s="42"/>
      <c r="S80" s="43"/>
      <c r="T80" s="44"/>
      <c r="U80" s="43"/>
      <c r="V80" s="43"/>
      <c r="W80" s="44"/>
    </row>
    <row r="81" spans="2:23" ht="14.25">
      <c r="B81" s="40"/>
      <c r="C81" s="41"/>
      <c r="D81" s="42" t="s">
        <v>302</v>
      </c>
      <c r="E81" s="43"/>
      <c r="F81" s="43"/>
      <c r="G81" s="43"/>
      <c r="H81" s="43"/>
      <c r="I81" s="43"/>
      <c r="J81" s="43"/>
      <c r="K81" s="43"/>
      <c r="L81" s="43"/>
      <c r="M81" s="43"/>
      <c r="N81" s="43"/>
      <c r="O81" s="43"/>
      <c r="P81" s="43"/>
      <c r="Q81" s="44"/>
      <c r="R81" s="42"/>
      <c r="S81" s="43"/>
      <c r="T81" s="44"/>
      <c r="U81" s="43"/>
      <c r="V81" s="43"/>
      <c r="W81" s="44"/>
    </row>
    <row r="82" spans="2:23" ht="14.25">
      <c r="B82" s="45"/>
      <c r="C82" s="46"/>
      <c r="D82" s="19"/>
      <c r="E82" s="20"/>
      <c r="F82" s="20"/>
      <c r="G82" s="20"/>
      <c r="H82" s="20"/>
      <c r="I82" s="20"/>
      <c r="J82" s="20"/>
      <c r="K82" s="20"/>
      <c r="L82" s="20"/>
      <c r="M82" s="20"/>
      <c r="N82" s="20"/>
      <c r="O82" s="20"/>
      <c r="P82" s="20"/>
      <c r="Q82" s="23"/>
      <c r="R82" s="19"/>
      <c r="S82" s="20"/>
      <c r="T82" s="23"/>
      <c r="U82" s="20"/>
      <c r="V82" s="20"/>
      <c r="W82" s="23"/>
    </row>
    <row r="83" spans="2:23" ht="14.25">
      <c r="B83" s="45">
        <v>100</v>
      </c>
      <c r="C83" s="46">
        <v>47</v>
      </c>
      <c r="D83" s="19" t="s">
        <v>299</v>
      </c>
      <c r="E83" s="20"/>
      <c r="F83" s="20"/>
      <c r="G83" s="20"/>
      <c r="H83" s="20"/>
      <c r="I83" s="20"/>
      <c r="J83" s="20"/>
      <c r="K83" s="20"/>
      <c r="L83" s="20"/>
      <c r="M83" s="20"/>
      <c r="N83" s="20">
        <v>0.5</v>
      </c>
      <c r="O83" s="20"/>
      <c r="P83" s="20">
        <v>8</v>
      </c>
      <c r="Q83" s="23"/>
      <c r="R83" s="19"/>
      <c r="S83" s="20"/>
      <c r="T83" s="23"/>
      <c r="U83" s="20"/>
      <c r="V83" s="20"/>
      <c r="W83" s="23"/>
    </row>
    <row r="84" spans="2:23" ht="14.25">
      <c r="B84" s="45"/>
      <c r="C84" s="46"/>
      <c r="D84" s="19"/>
      <c r="E84" s="20"/>
      <c r="F84" s="20"/>
      <c r="G84" s="20"/>
      <c r="H84" s="20"/>
      <c r="I84" s="20"/>
      <c r="J84" s="20"/>
      <c r="K84" s="20"/>
      <c r="L84" s="20"/>
      <c r="M84" s="20"/>
      <c r="N84" s="20"/>
      <c r="O84" s="20"/>
      <c r="P84" s="20"/>
      <c r="Q84" s="23"/>
      <c r="R84" s="19"/>
      <c r="S84" s="20"/>
      <c r="T84" s="23"/>
      <c r="U84" s="20"/>
      <c r="V84" s="20"/>
      <c r="W84" s="23"/>
    </row>
    <row r="85" spans="2:23" ht="14.25">
      <c r="B85" s="40"/>
      <c r="C85" s="41"/>
      <c r="D85" s="42"/>
      <c r="E85" s="43"/>
      <c r="F85" s="43"/>
      <c r="G85" s="43"/>
      <c r="H85" s="43"/>
      <c r="I85" s="43"/>
      <c r="J85" s="43"/>
      <c r="K85" s="43"/>
      <c r="L85" s="43"/>
      <c r="M85" s="43"/>
      <c r="N85" s="43"/>
      <c r="O85" s="43"/>
      <c r="P85" s="43"/>
      <c r="Q85" s="44"/>
      <c r="R85" s="42"/>
      <c r="S85" s="43"/>
      <c r="T85" s="44"/>
      <c r="U85" s="43"/>
      <c r="V85" s="43"/>
      <c r="W85" s="44"/>
    </row>
    <row r="86" spans="2:23" ht="14.25">
      <c r="B86" s="40">
        <v>110</v>
      </c>
      <c r="C86" s="41">
        <v>47</v>
      </c>
      <c r="D86" s="42" t="s">
        <v>300</v>
      </c>
      <c r="E86" s="43"/>
      <c r="F86" s="43"/>
      <c r="G86" s="43"/>
      <c r="H86" s="43"/>
      <c r="I86" s="43"/>
      <c r="J86" s="43"/>
      <c r="K86" s="43"/>
      <c r="L86" s="43"/>
      <c r="M86" s="43"/>
      <c r="N86" s="43">
        <v>1</v>
      </c>
      <c r="O86" s="43"/>
      <c r="P86" s="43">
        <v>24</v>
      </c>
      <c r="Q86" s="44"/>
      <c r="R86" s="42"/>
      <c r="S86" s="43"/>
      <c r="T86" s="44"/>
      <c r="U86" s="43"/>
      <c r="V86" s="43"/>
      <c r="W86" s="44"/>
    </row>
    <row r="87" spans="2:23" ht="14.25">
      <c r="B87" s="40"/>
      <c r="C87" s="41"/>
      <c r="D87" s="42"/>
      <c r="E87" s="43"/>
      <c r="F87" s="43"/>
      <c r="G87" s="43"/>
      <c r="H87" s="43"/>
      <c r="I87" s="43"/>
      <c r="J87" s="43"/>
      <c r="K87" s="43"/>
      <c r="L87" s="43"/>
      <c r="M87" s="43"/>
      <c r="N87" s="43"/>
      <c r="O87" s="43"/>
      <c r="P87" s="43"/>
      <c r="Q87" s="44"/>
      <c r="R87" s="42"/>
      <c r="S87" s="43"/>
      <c r="T87" s="44"/>
      <c r="U87" s="43"/>
      <c r="V87" s="43"/>
      <c r="W87" s="44"/>
    </row>
    <row r="88" spans="2:23" ht="14.25">
      <c r="B88" s="45"/>
      <c r="C88" s="46"/>
      <c r="D88" s="19"/>
      <c r="E88" s="20"/>
      <c r="F88" s="20"/>
      <c r="G88" s="20"/>
      <c r="H88" s="20"/>
      <c r="I88" s="20"/>
      <c r="J88" s="20"/>
      <c r="K88" s="20"/>
      <c r="L88" s="20"/>
      <c r="M88" s="20"/>
      <c r="N88" s="20"/>
      <c r="O88" s="20"/>
      <c r="P88" s="20"/>
      <c r="Q88" s="23"/>
      <c r="R88" s="19"/>
      <c r="S88" s="20"/>
      <c r="T88" s="23"/>
      <c r="U88" s="20"/>
      <c r="V88" s="20"/>
      <c r="W88" s="23"/>
    </row>
    <row r="89" spans="2:23" ht="14.25">
      <c r="B89" s="45">
        <v>120</v>
      </c>
      <c r="C89" s="46">
        <v>30</v>
      </c>
      <c r="D89" s="19" t="s">
        <v>305</v>
      </c>
      <c r="E89" s="20"/>
      <c r="F89" s="20"/>
      <c r="G89" s="20"/>
      <c r="H89" s="20"/>
      <c r="I89" s="20"/>
      <c r="J89" s="20"/>
      <c r="K89" s="20"/>
      <c r="L89" s="20"/>
      <c r="M89" s="20"/>
      <c r="N89" s="20">
        <v>0.5</v>
      </c>
      <c r="O89" s="20"/>
      <c r="P89" s="20">
        <v>24</v>
      </c>
      <c r="Q89" s="23"/>
      <c r="R89" s="19"/>
      <c r="S89" s="20"/>
      <c r="T89" s="23"/>
      <c r="U89" s="20"/>
      <c r="V89" s="20"/>
      <c r="W89" s="23"/>
    </row>
    <row r="90" spans="2:23" ht="14.25">
      <c r="B90" s="45"/>
      <c r="C90" s="46"/>
      <c r="D90" s="19"/>
      <c r="E90" s="20"/>
      <c r="F90" s="20"/>
      <c r="G90" s="20"/>
      <c r="H90" s="20"/>
      <c r="I90" s="20"/>
      <c r="J90" s="20"/>
      <c r="K90" s="20"/>
      <c r="L90" s="20"/>
      <c r="M90" s="20"/>
      <c r="N90" s="20"/>
      <c r="O90" s="20"/>
      <c r="P90" s="20"/>
      <c r="Q90" s="23"/>
      <c r="R90" s="19"/>
      <c r="S90" s="20"/>
      <c r="T90" s="23"/>
      <c r="U90" s="20"/>
      <c r="V90" s="20"/>
      <c r="W90" s="23"/>
    </row>
    <row r="91" spans="2:23" ht="14.25">
      <c r="B91" s="40"/>
      <c r="C91" s="41"/>
      <c r="D91" s="42"/>
      <c r="E91" s="43"/>
      <c r="F91" s="43"/>
      <c r="G91" s="43"/>
      <c r="H91" s="43"/>
      <c r="I91" s="43"/>
      <c r="J91" s="43"/>
      <c r="K91" s="43"/>
      <c r="L91" s="43"/>
      <c r="M91" s="43"/>
      <c r="N91" s="43"/>
      <c r="O91" s="43"/>
      <c r="P91" s="43"/>
      <c r="Q91" s="44"/>
      <c r="R91" s="42"/>
      <c r="S91" s="43"/>
      <c r="T91" s="44"/>
      <c r="U91" s="43"/>
      <c r="V91" s="43"/>
      <c r="W91" s="44"/>
    </row>
    <row r="92" spans="2:23" ht="14.25">
      <c r="B92" s="40">
        <v>130</v>
      </c>
      <c r="C92" s="41">
        <v>60</v>
      </c>
      <c r="D92" s="42" t="s">
        <v>306</v>
      </c>
      <c r="E92" s="43"/>
      <c r="F92" s="43"/>
      <c r="G92" s="43"/>
      <c r="H92" s="43"/>
      <c r="I92" s="43"/>
      <c r="J92" s="43"/>
      <c r="K92" s="43"/>
      <c r="L92" s="43"/>
      <c r="M92" s="43"/>
      <c r="N92" s="43">
        <v>0</v>
      </c>
      <c r="O92" s="43"/>
      <c r="P92" s="43">
        <v>0</v>
      </c>
      <c r="Q92" s="44"/>
      <c r="R92" s="42"/>
      <c r="S92" s="43"/>
      <c r="T92" s="44"/>
      <c r="U92" s="43"/>
      <c r="V92" s="43"/>
      <c r="W92" s="44"/>
    </row>
    <row r="93" spans="2:23" ht="14.25">
      <c r="B93" s="40"/>
      <c r="C93" s="41"/>
      <c r="D93" s="42"/>
      <c r="E93" s="43"/>
      <c r="F93" s="43"/>
      <c r="G93" s="43"/>
      <c r="H93" s="43"/>
      <c r="I93" s="43"/>
      <c r="J93" s="43"/>
      <c r="K93" s="43"/>
      <c r="L93" s="43"/>
      <c r="M93" s="43"/>
      <c r="N93" s="43"/>
      <c r="O93" s="43"/>
      <c r="P93" s="43"/>
      <c r="Q93" s="44"/>
      <c r="R93" s="42"/>
      <c r="S93" s="43"/>
      <c r="T93" s="44"/>
      <c r="U93" s="43"/>
      <c r="V93" s="43"/>
      <c r="W93" s="44"/>
    </row>
    <row r="94" spans="2:23" ht="14.25">
      <c r="B94" s="45"/>
      <c r="C94" s="46"/>
      <c r="D94" s="19"/>
      <c r="E94" s="20"/>
      <c r="F94" s="20"/>
      <c r="G94" s="20"/>
      <c r="H94" s="20"/>
      <c r="I94" s="20"/>
      <c r="J94" s="20"/>
      <c r="K94" s="20"/>
      <c r="L94" s="20"/>
      <c r="M94" s="20"/>
      <c r="N94" s="20"/>
      <c r="O94" s="20"/>
      <c r="P94" s="20"/>
      <c r="Q94" s="23"/>
      <c r="R94" s="19"/>
      <c r="S94" s="20"/>
      <c r="T94" s="23"/>
      <c r="U94" s="20"/>
      <c r="V94" s="20"/>
      <c r="W94" s="23"/>
    </row>
    <row r="95" spans="2:23" ht="14.25">
      <c r="B95" s="45">
        <v>140</v>
      </c>
      <c r="C95" s="46">
        <v>30</v>
      </c>
      <c r="D95" s="19" t="s">
        <v>307</v>
      </c>
      <c r="E95" s="20"/>
      <c r="F95" s="20"/>
      <c r="G95" s="20"/>
      <c r="H95" s="20"/>
      <c r="I95" s="20"/>
      <c r="J95" s="20"/>
      <c r="K95" s="20"/>
      <c r="L95" s="20"/>
      <c r="M95" s="20"/>
      <c r="N95" s="20">
        <v>0.5</v>
      </c>
      <c r="O95" s="20"/>
      <c r="P95" s="20">
        <v>4</v>
      </c>
      <c r="Q95" s="23"/>
      <c r="R95" s="19"/>
      <c r="S95" s="20"/>
      <c r="T95" s="23"/>
      <c r="U95" s="20"/>
      <c r="V95" s="20"/>
      <c r="W95" s="23"/>
    </row>
    <row r="96" spans="2:23" ht="14.25">
      <c r="B96" s="45"/>
      <c r="C96" s="46"/>
      <c r="D96" s="19" t="s">
        <v>308</v>
      </c>
      <c r="E96" s="20"/>
      <c r="F96" s="20"/>
      <c r="G96" s="20"/>
      <c r="H96" s="20"/>
      <c r="I96" s="20"/>
      <c r="J96" s="20"/>
      <c r="K96" s="20"/>
      <c r="L96" s="20"/>
      <c r="M96" s="20"/>
      <c r="N96" s="20"/>
      <c r="O96" s="20"/>
      <c r="P96" s="20"/>
      <c r="Q96" s="23"/>
      <c r="R96" s="19"/>
      <c r="S96" s="20"/>
      <c r="T96" s="23"/>
      <c r="U96" s="20"/>
      <c r="V96" s="20"/>
      <c r="W96" s="23"/>
    </row>
    <row r="97" spans="2:23" ht="14.25">
      <c r="B97" s="40"/>
      <c r="C97" s="41"/>
      <c r="D97" s="42"/>
      <c r="E97" s="43"/>
      <c r="F97" s="43"/>
      <c r="G97" s="43"/>
      <c r="H97" s="43"/>
      <c r="I97" s="43"/>
      <c r="J97" s="43"/>
      <c r="K97" s="43"/>
      <c r="L97" s="43"/>
      <c r="M97" s="43"/>
      <c r="N97" s="43"/>
      <c r="O97" s="43"/>
      <c r="P97" s="43"/>
      <c r="Q97" s="44"/>
      <c r="R97" s="42"/>
      <c r="S97" s="43"/>
      <c r="T97" s="44"/>
      <c r="U97" s="43"/>
      <c r="V97" s="43"/>
      <c r="W97" s="44"/>
    </row>
    <row r="98" spans="2:23" ht="14.25">
      <c r="B98" s="40">
        <v>150</v>
      </c>
      <c r="C98" s="41">
        <v>47</v>
      </c>
      <c r="D98" s="42" t="s">
        <v>309</v>
      </c>
      <c r="E98" s="43"/>
      <c r="F98" s="43"/>
      <c r="G98" s="43"/>
      <c r="H98" s="43"/>
      <c r="I98" s="43"/>
      <c r="J98" s="43"/>
      <c r="K98" s="43"/>
      <c r="L98" s="43"/>
      <c r="M98" s="43"/>
      <c r="N98" s="43">
        <v>1</v>
      </c>
      <c r="O98" s="43"/>
      <c r="P98" s="43">
        <v>12</v>
      </c>
      <c r="Q98" s="44"/>
      <c r="R98" s="42"/>
      <c r="S98" s="43"/>
      <c r="T98" s="44"/>
      <c r="U98" s="43"/>
      <c r="V98" s="43"/>
      <c r="W98" s="44"/>
    </row>
    <row r="99" spans="2:23" ht="14.25">
      <c r="B99" s="40"/>
      <c r="C99" s="41"/>
      <c r="D99" s="42" t="s">
        <v>310</v>
      </c>
      <c r="E99" s="43"/>
      <c r="F99" s="43"/>
      <c r="G99" s="43"/>
      <c r="H99" s="43"/>
      <c r="I99" s="43"/>
      <c r="J99" s="43"/>
      <c r="K99" s="43"/>
      <c r="L99" s="43"/>
      <c r="M99" s="43"/>
      <c r="N99" s="43"/>
      <c r="O99" s="43"/>
      <c r="P99" s="43"/>
      <c r="Q99" s="44"/>
      <c r="R99" s="42"/>
      <c r="S99" s="43"/>
      <c r="T99" s="44"/>
      <c r="U99" s="43"/>
      <c r="V99" s="43"/>
      <c r="W99" s="44"/>
    </row>
    <row r="100" spans="2:23" ht="14.25">
      <c r="B100" s="45"/>
      <c r="C100" s="46"/>
      <c r="D100" s="19"/>
      <c r="E100" s="20"/>
      <c r="F100" s="20"/>
      <c r="G100" s="20"/>
      <c r="H100" s="20"/>
      <c r="I100" s="20"/>
      <c r="J100" s="20"/>
      <c r="K100" s="20"/>
      <c r="L100" s="20"/>
      <c r="M100" s="20"/>
      <c r="N100" s="20"/>
      <c r="O100" s="20"/>
      <c r="P100" s="20"/>
      <c r="Q100" s="23"/>
      <c r="R100" s="19"/>
      <c r="S100" s="20"/>
      <c r="T100" s="23"/>
      <c r="U100" s="20"/>
      <c r="V100" s="20"/>
      <c r="W100" s="23"/>
    </row>
    <row r="101" spans="2:23" ht="14.25">
      <c r="B101" s="45">
        <v>160</v>
      </c>
      <c r="C101" s="46">
        <v>30</v>
      </c>
      <c r="D101" s="19" t="s">
        <v>311</v>
      </c>
      <c r="E101" s="20"/>
      <c r="F101" s="20"/>
      <c r="G101" s="20"/>
      <c r="H101" s="20"/>
      <c r="I101" s="20"/>
      <c r="J101" s="20"/>
      <c r="K101" s="20"/>
      <c r="L101" s="20"/>
      <c r="M101" s="20"/>
      <c r="N101" s="20">
        <v>0.5</v>
      </c>
      <c r="O101" s="20"/>
      <c r="P101" s="20">
        <v>84</v>
      </c>
      <c r="Q101" s="23"/>
      <c r="R101" s="19"/>
      <c r="S101" s="20"/>
      <c r="T101" s="23"/>
      <c r="U101" s="20"/>
      <c r="V101" s="20"/>
      <c r="W101" s="23"/>
    </row>
    <row r="102" spans="2:23" ht="14.25">
      <c r="B102" s="45"/>
      <c r="C102" s="46"/>
      <c r="D102" s="19"/>
      <c r="E102" s="20"/>
      <c r="F102" s="20"/>
      <c r="G102" s="20"/>
      <c r="H102" s="20"/>
      <c r="I102" s="20"/>
      <c r="J102" s="20"/>
      <c r="K102" s="20"/>
      <c r="L102" s="20"/>
      <c r="M102" s="20"/>
      <c r="N102" s="20"/>
      <c r="O102" s="20"/>
      <c r="P102" s="20"/>
      <c r="Q102" s="23"/>
      <c r="R102" s="19"/>
      <c r="S102" s="20"/>
      <c r="T102" s="23"/>
      <c r="U102" s="20"/>
      <c r="V102" s="20"/>
      <c r="W102" s="23"/>
    </row>
    <row r="103" spans="2:23" ht="14.25">
      <c r="B103" s="40"/>
      <c r="C103" s="41"/>
      <c r="D103" s="42"/>
      <c r="E103" s="43"/>
      <c r="F103" s="43"/>
      <c r="G103" s="43"/>
      <c r="H103" s="43"/>
      <c r="I103" s="43"/>
      <c r="J103" s="43"/>
      <c r="K103" s="43"/>
      <c r="L103" s="43"/>
      <c r="M103" s="43"/>
      <c r="N103" s="43"/>
      <c r="O103" s="43"/>
      <c r="P103" s="43"/>
      <c r="Q103" s="44"/>
      <c r="R103" s="42"/>
      <c r="S103" s="43"/>
      <c r="T103" s="44"/>
      <c r="U103" s="43"/>
      <c r="V103" s="43"/>
      <c r="W103" s="44"/>
    </row>
    <row r="104" spans="2:23" ht="14.25">
      <c r="B104" s="40">
        <v>170</v>
      </c>
      <c r="C104" s="41">
        <v>47</v>
      </c>
      <c r="D104" s="42" t="s">
        <v>309</v>
      </c>
      <c r="E104" s="43"/>
      <c r="F104" s="43"/>
      <c r="G104" s="43"/>
      <c r="H104" s="43"/>
      <c r="I104" s="43"/>
      <c r="J104" s="43"/>
      <c r="K104" s="43"/>
      <c r="L104" s="43"/>
      <c r="M104" s="43"/>
      <c r="N104" s="43">
        <v>1</v>
      </c>
      <c r="O104" s="43"/>
      <c r="P104" s="43">
        <v>12</v>
      </c>
      <c r="Q104" s="44"/>
      <c r="R104" s="42"/>
      <c r="S104" s="43"/>
      <c r="T104" s="44"/>
      <c r="U104" s="43"/>
      <c r="V104" s="43"/>
      <c r="W104" s="44"/>
    </row>
    <row r="105" spans="2:23" ht="14.25">
      <c r="B105" s="40"/>
      <c r="C105" s="41"/>
      <c r="D105" s="42" t="s">
        <v>310</v>
      </c>
      <c r="E105" s="43"/>
      <c r="F105" s="43"/>
      <c r="G105" s="43"/>
      <c r="H105" s="43"/>
      <c r="I105" s="43"/>
      <c r="J105" s="43"/>
      <c r="K105" s="43"/>
      <c r="L105" s="43"/>
      <c r="M105" s="43"/>
      <c r="N105" s="43"/>
      <c r="O105" s="43"/>
      <c r="P105" s="43"/>
      <c r="Q105" s="44"/>
      <c r="R105" s="42"/>
      <c r="S105" s="43"/>
      <c r="T105" s="44"/>
      <c r="U105" s="43"/>
      <c r="V105" s="43"/>
      <c r="W105" s="44"/>
    </row>
    <row r="106" spans="2:23" ht="14.25">
      <c r="B106" s="45"/>
      <c r="C106" s="46"/>
      <c r="D106" s="19"/>
      <c r="E106" s="20"/>
      <c r="F106" s="20"/>
      <c r="G106" s="20"/>
      <c r="H106" s="20"/>
      <c r="I106" s="20"/>
      <c r="J106" s="20"/>
      <c r="K106" s="20"/>
      <c r="L106" s="20"/>
      <c r="M106" s="20"/>
      <c r="N106" s="20"/>
      <c r="O106" s="20"/>
      <c r="P106" s="20"/>
      <c r="Q106" s="23"/>
      <c r="R106" s="19"/>
      <c r="S106" s="20"/>
      <c r="T106" s="23"/>
      <c r="U106" s="20"/>
      <c r="V106" s="20"/>
      <c r="W106" s="23"/>
    </row>
    <row r="107" spans="2:23" ht="14.25">
      <c r="B107" s="45">
        <v>180</v>
      </c>
      <c r="C107" s="46">
        <v>47</v>
      </c>
      <c r="D107" s="19" t="s">
        <v>312</v>
      </c>
      <c r="E107" s="20"/>
      <c r="F107" s="20"/>
      <c r="G107" s="20"/>
      <c r="H107" s="20"/>
      <c r="I107" s="20"/>
      <c r="J107" s="20"/>
      <c r="K107" s="20"/>
      <c r="L107" s="20"/>
      <c r="M107" s="20"/>
      <c r="N107" s="20">
        <v>0.5</v>
      </c>
      <c r="O107" s="20"/>
      <c r="P107" s="20">
        <v>3</v>
      </c>
      <c r="Q107" s="23"/>
      <c r="R107" s="19"/>
      <c r="S107" s="20"/>
      <c r="T107" s="23"/>
      <c r="U107" s="20"/>
      <c r="V107" s="20"/>
      <c r="W107" s="23"/>
    </row>
    <row r="108" spans="2:23" ht="14.25">
      <c r="B108" s="45"/>
      <c r="C108" s="46"/>
      <c r="D108" s="19" t="s">
        <v>313</v>
      </c>
      <c r="E108" s="20"/>
      <c r="F108" s="20"/>
      <c r="G108" s="20"/>
      <c r="H108" s="20"/>
      <c r="I108" s="20"/>
      <c r="J108" s="20"/>
      <c r="K108" s="20"/>
      <c r="L108" s="20"/>
      <c r="M108" s="20"/>
      <c r="N108" s="20"/>
      <c r="O108" s="20"/>
      <c r="P108" s="20"/>
      <c r="Q108" s="23"/>
      <c r="R108" s="19"/>
      <c r="S108" s="20"/>
      <c r="T108" s="23"/>
      <c r="U108" s="20"/>
      <c r="V108" s="20"/>
      <c r="W108" s="23"/>
    </row>
    <row r="109" spans="2:23" ht="14.25">
      <c r="B109" s="40"/>
      <c r="C109" s="41"/>
      <c r="D109" s="42"/>
      <c r="E109" s="43"/>
      <c r="F109" s="43"/>
      <c r="G109" s="43"/>
      <c r="H109" s="43"/>
      <c r="I109" s="43"/>
      <c r="J109" s="43"/>
      <c r="K109" s="43"/>
      <c r="L109" s="43"/>
      <c r="M109" s="43"/>
      <c r="N109" s="43"/>
      <c r="O109" s="43"/>
      <c r="P109" s="43"/>
      <c r="Q109" s="44"/>
      <c r="R109" s="42"/>
      <c r="S109" s="43"/>
      <c r="T109" s="44"/>
      <c r="U109" s="43"/>
      <c r="V109" s="43"/>
      <c r="W109" s="44"/>
    </row>
    <row r="110" spans="2:23" ht="14.25">
      <c r="B110" s="40">
        <v>190</v>
      </c>
      <c r="C110" s="41">
        <v>49</v>
      </c>
      <c r="D110" s="42" t="s">
        <v>314</v>
      </c>
      <c r="E110" s="43"/>
      <c r="F110" s="43"/>
      <c r="G110" s="43"/>
      <c r="H110" s="43"/>
      <c r="I110" s="43"/>
      <c r="J110" s="43"/>
      <c r="K110" s="43"/>
      <c r="L110" s="43"/>
      <c r="M110" s="43"/>
      <c r="N110" s="43">
        <v>1</v>
      </c>
      <c r="O110" s="43"/>
      <c r="P110" s="43">
        <v>4</v>
      </c>
      <c r="Q110" s="44"/>
      <c r="R110" s="42"/>
      <c r="S110" s="43"/>
      <c r="T110" s="44"/>
      <c r="U110" s="43"/>
      <c r="V110" s="43"/>
      <c r="W110" s="44"/>
    </row>
    <row r="111" spans="2:23" ht="14.25">
      <c r="B111" s="40"/>
      <c r="C111" s="41"/>
      <c r="D111" s="42"/>
      <c r="E111" s="43"/>
      <c r="F111" s="43"/>
      <c r="G111" s="43"/>
      <c r="H111" s="43"/>
      <c r="I111" s="43"/>
      <c r="J111" s="43"/>
      <c r="K111" s="43"/>
      <c r="L111" s="43"/>
      <c r="M111" s="43"/>
      <c r="N111" s="43"/>
      <c r="O111" s="43"/>
      <c r="P111" s="43"/>
      <c r="Q111" s="44"/>
      <c r="R111" s="42"/>
      <c r="S111" s="43"/>
      <c r="T111" s="44"/>
      <c r="U111" s="43"/>
      <c r="V111" s="43"/>
      <c r="W111" s="44"/>
    </row>
    <row r="112" spans="2:23" ht="14.25">
      <c r="B112" s="45"/>
      <c r="C112" s="46"/>
      <c r="D112" s="19"/>
      <c r="E112" s="20"/>
      <c r="F112" s="20"/>
      <c r="G112" s="20"/>
      <c r="H112" s="20"/>
      <c r="I112" s="20"/>
      <c r="J112" s="20"/>
      <c r="K112" s="20"/>
      <c r="L112" s="20"/>
      <c r="M112" s="20"/>
      <c r="N112" s="20"/>
      <c r="O112" s="20"/>
      <c r="P112" s="20"/>
      <c r="Q112" s="23"/>
      <c r="R112" s="19"/>
      <c r="S112" s="20"/>
      <c r="T112" s="23"/>
      <c r="U112" s="20"/>
      <c r="V112" s="20"/>
      <c r="W112" s="23"/>
    </row>
    <row r="113" spans="2:23" ht="14.25">
      <c r="B113" s="45"/>
      <c r="C113" s="46"/>
      <c r="D113" s="19"/>
      <c r="E113" s="20"/>
      <c r="F113" s="20"/>
      <c r="G113" s="20"/>
      <c r="H113" s="20"/>
      <c r="I113" s="20"/>
      <c r="J113" s="20"/>
      <c r="K113" s="20"/>
      <c r="L113" s="20"/>
      <c r="M113" s="20"/>
      <c r="N113" s="20"/>
      <c r="O113" s="20"/>
      <c r="P113" s="20"/>
      <c r="Q113" s="23"/>
      <c r="R113" s="19"/>
      <c r="S113" s="20"/>
      <c r="T113" s="23"/>
      <c r="U113" s="20"/>
      <c r="V113" s="20"/>
      <c r="W113" s="23"/>
    </row>
    <row r="114" spans="2:23" ht="15" thickBot="1">
      <c r="B114" s="47"/>
      <c r="C114" s="48"/>
      <c r="D114" s="28"/>
      <c r="E114" s="29"/>
      <c r="F114" s="29"/>
      <c r="G114" s="29"/>
      <c r="H114" s="29"/>
      <c r="I114" s="29"/>
      <c r="J114" s="29"/>
      <c r="K114" s="29"/>
      <c r="L114" s="29"/>
      <c r="M114" s="49" t="s">
        <v>24</v>
      </c>
      <c r="N114" s="29">
        <f>SUM(N61:N113)</f>
        <v>8.7</v>
      </c>
      <c r="O114" s="29"/>
      <c r="P114" s="29">
        <f>SUM(P61:P113)</f>
        <v>218</v>
      </c>
      <c r="Q114" s="30"/>
      <c r="R114" s="28"/>
      <c r="S114" s="29"/>
      <c r="T114" s="30"/>
      <c r="U114" s="29"/>
      <c r="V114" s="29"/>
      <c r="W114"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7"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16">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281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413</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114260-00WS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PORT, CONFLAT, 10", 4.84 LONG</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114260-00WS</v>
      </c>
      <c r="H19" s="13" t="str">
        <f>D11</f>
        <v>PORT, CONFLAT, 10", 4.84 LONG</v>
      </c>
      <c r="Q19" s="13" t="s">
        <v>537</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1000-800N</v>
      </c>
      <c r="H26" s="50" t="str">
        <f>INDEX(BOM!J:J,MATCH($P$3,BOM!$P:$P,0)+1,1)</f>
        <v>(NORCAL) FLANGE, CONFLAT, 10", NR, THRU</v>
      </c>
      <c r="Q26" s="50">
        <f>INDEX(BOM!M:M,MATCH($P$3,BOM!$P:$P,0)+1,1)</f>
        <v>48</v>
      </c>
    </row>
    <row r="27" spans="2:17" ht="14.25">
      <c r="B27" s="31"/>
      <c r="C27" s="50" t="str">
        <f>INDEX(BOM!I:I,MATCH($P$3,BOM!$P:$P,0)+2,1)</f>
        <v>114435-00S</v>
      </c>
      <c r="H27" s="50" t="str">
        <f>INDEX(BOM!J:J,MATCH($P$3,BOM!$P:$P,0)+2,1)</f>
        <v>TUBE, 10" CF, MC TUBE </v>
      </c>
      <c r="Q27" s="50">
        <f>INDEX(BOM!M:M,MATCH($P$3,BOM!$P:$P,0)+2,1)</f>
        <v>48</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209</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210</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167</v>
      </c>
      <c r="E34" s="20"/>
      <c r="F34" s="20"/>
      <c r="G34" s="20"/>
      <c r="H34" s="20"/>
      <c r="I34" s="20"/>
      <c r="J34" s="20"/>
      <c r="K34" s="20"/>
      <c r="L34" s="20"/>
      <c r="M34" s="20"/>
      <c r="N34" s="20">
        <v>0.25</v>
      </c>
      <c r="O34" s="20"/>
      <c r="P34" s="20">
        <v>8</v>
      </c>
      <c r="Q34" s="23"/>
      <c r="R34" s="19"/>
      <c r="S34" s="20"/>
      <c r="T34" s="23"/>
      <c r="U34" s="20"/>
      <c r="V34" s="20"/>
      <c r="W34" s="23"/>
    </row>
    <row r="35" spans="2:23" ht="14.25">
      <c r="B35" s="45"/>
      <c r="C35" s="46"/>
      <c r="D35" s="19" t="s">
        <v>168</v>
      </c>
      <c r="E35" s="20"/>
      <c r="F35" s="20"/>
      <c r="G35" s="20"/>
      <c r="H35" s="20"/>
      <c r="I35" s="20"/>
      <c r="J35" s="20"/>
      <c r="K35" s="20"/>
      <c r="L35" s="20"/>
      <c r="M35" s="20"/>
      <c r="N35" s="20"/>
      <c r="O35" s="20"/>
      <c r="P35" s="20"/>
      <c r="Q35" s="23"/>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1">
        <v>47</v>
      </c>
      <c r="D37" s="42" t="s">
        <v>163</v>
      </c>
      <c r="E37" s="43"/>
      <c r="F37" s="43"/>
      <c r="G37" s="43"/>
      <c r="H37" s="43"/>
      <c r="I37" s="43"/>
      <c r="J37" s="43"/>
      <c r="K37" s="43"/>
      <c r="L37" s="43"/>
      <c r="M37" s="43"/>
      <c r="N37" s="43">
        <v>0.25</v>
      </c>
      <c r="O37" s="43"/>
      <c r="P37" s="43">
        <v>6</v>
      </c>
      <c r="Q37" s="44"/>
      <c r="R37" s="42"/>
      <c r="S37" s="43"/>
      <c r="T37" s="44"/>
      <c r="U37" s="43"/>
      <c r="V37" s="43"/>
      <c r="W37" s="44"/>
    </row>
    <row r="38" spans="2:23" ht="14.25">
      <c r="B38" s="40"/>
      <c r="C38" s="41"/>
      <c r="D38" s="42" t="s">
        <v>164</v>
      </c>
      <c r="E38" s="43"/>
      <c r="F38" s="43"/>
      <c r="G38" s="43"/>
      <c r="H38" s="43"/>
      <c r="I38" s="43"/>
      <c r="J38" s="43"/>
      <c r="K38" s="43"/>
      <c r="L38" s="43"/>
      <c r="M38" s="43"/>
      <c r="N38" s="43"/>
      <c r="O38" s="43"/>
      <c r="P38" s="43"/>
      <c r="Q38" s="44"/>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5">
      <c r="B40" s="45">
        <v>40</v>
      </c>
      <c r="C40" s="46">
        <v>10</v>
      </c>
      <c r="D40" s="19" t="s">
        <v>165</v>
      </c>
      <c r="E40" s="20"/>
      <c r="F40" s="20"/>
      <c r="G40" s="20"/>
      <c r="H40" s="20"/>
      <c r="I40" s="20"/>
      <c r="J40" s="20"/>
      <c r="K40" s="20"/>
      <c r="L40" s="20"/>
      <c r="M40" s="20"/>
      <c r="N40" s="20">
        <v>0.1</v>
      </c>
      <c r="O40" s="20"/>
      <c r="P40" s="20">
        <v>16</v>
      </c>
      <c r="Q40" s="23"/>
      <c r="R40" s="19"/>
      <c r="S40" s="20"/>
      <c r="T40" s="23"/>
      <c r="U40" s="20"/>
      <c r="V40" s="20"/>
      <c r="W40" s="23"/>
    </row>
    <row r="41" spans="2:23" ht="14.25">
      <c r="B41" s="45"/>
      <c r="C41" s="46"/>
      <c r="D41" s="19"/>
      <c r="E41" s="20"/>
      <c r="F41" s="20"/>
      <c r="G41" s="20"/>
      <c r="H41" s="20"/>
      <c r="I41" s="20"/>
      <c r="J41" s="20"/>
      <c r="K41" s="20"/>
      <c r="L41" s="20"/>
      <c r="M41" s="20"/>
      <c r="N41" s="20"/>
      <c r="O41" s="20"/>
      <c r="P41" s="20"/>
      <c r="Q41" s="23"/>
      <c r="R41" s="19"/>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47</v>
      </c>
      <c r="D43" s="42" t="s">
        <v>166</v>
      </c>
      <c r="E43" s="43"/>
      <c r="F43" s="43"/>
      <c r="G43" s="43"/>
      <c r="H43" s="43"/>
      <c r="I43" s="43"/>
      <c r="J43" s="43"/>
      <c r="K43" s="43"/>
      <c r="L43" s="43"/>
      <c r="M43" s="43"/>
      <c r="N43" s="43">
        <v>0.1</v>
      </c>
      <c r="O43" s="43"/>
      <c r="P43" s="43">
        <v>2</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60</v>
      </c>
      <c r="D46" s="19" t="s">
        <v>67</v>
      </c>
      <c r="E46" s="20"/>
      <c r="F46" s="20"/>
      <c r="G46" s="20"/>
      <c r="H46" s="20"/>
      <c r="I46" s="20"/>
      <c r="J46" s="20"/>
      <c r="K46" s="20"/>
      <c r="L46" s="20"/>
      <c r="M46" s="20"/>
      <c r="N46" s="20">
        <v>0</v>
      </c>
      <c r="O46" s="20"/>
      <c r="P46" s="20">
        <v>0</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0.7</v>
      </c>
      <c r="O53" s="29"/>
      <c r="P53" s="29">
        <f>SUM(P30:P51)</f>
        <v>32</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B2:W53"/>
  <sheetViews>
    <sheetView zoomScale="7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17" width="4.4218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415</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114261-00WS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PORT, CF, 10" NOM ID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114261-00WS</v>
      </c>
      <c r="H19" s="13" t="str">
        <f>D11</f>
        <v>PORT, CF, 10" NOM ID</v>
      </c>
      <c r="Q19" s="13" t="s">
        <v>145</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114378-00S</v>
      </c>
      <c r="H26" s="50" t="str">
        <f>INDEX(BOM!J:J,MATCH($P$3,BOM!$P:$P,0)+1,1)</f>
        <v>TUBE, PORT, 10" CF </v>
      </c>
      <c r="Q26" s="50">
        <f>INDEX(BOM!M:M,MATCH($P$3,BOM!$P:$P,0)+1,1)</f>
        <v>4</v>
      </c>
    </row>
    <row r="27" spans="2:17" ht="14.25">
      <c r="B27" s="31"/>
      <c r="C27" s="50" t="str">
        <f>INDEX(BOM!I:I,MATCH($P$3,BOM!$P:$P,0)+3,1)</f>
        <v>1000-800N</v>
      </c>
      <c r="H27" s="50" t="str">
        <f>INDEX(BOM!J:J,MATCH($P$3,BOM!$P:$P,0)+3,1)</f>
        <v>(NORCAL) FLANGE, CONFLAT, 10" OD, NR, THRU HOLES</v>
      </c>
      <c r="Q27" s="50">
        <f>INDEX(BOM!M:M,MATCH($P$3,BOM!$P:$P,0)+3,1)</f>
        <v>4</v>
      </c>
    </row>
    <row r="28" ht="15" thickBot="1">
      <c r="B28" s="31"/>
    </row>
    <row r="29" spans="2:23" ht="15" thickBot="1">
      <c r="B29" s="34" t="s">
        <v>17</v>
      </c>
      <c r="C29" s="35" t="s">
        <v>18</v>
      </c>
      <c r="D29" s="36" t="s">
        <v>19</v>
      </c>
      <c r="E29" s="37"/>
      <c r="F29" s="37"/>
      <c r="G29" s="37"/>
      <c r="H29" s="37"/>
      <c r="I29" s="37"/>
      <c r="J29" s="37"/>
      <c r="K29" s="37"/>
      <c r="L29" s="37"/>
      <c r="M29" s="37"/>
      <c r="N29" s="37" t="s">
        <v>20</v>
      </c>
      <c r="O29" s="37"/>
      <c r="P29" s="37" t="s">
        <v>21</v>
      </c>
      <c r="Q29" s="38"/>
      <c r="R29" s="36"/>
      <c r="S29" s="39" t="s">
        <v>22</v>
      </c>
      <c r="T29" s="38"/>
      <c r="U29" s="37"/>
      <c r="V29" s="39" t="s">
        <v>23</v>
      </c>
      <c r="W29" s="38"/>
    </row>
    <row r="30" spans="2:23" ht="14.25">
      <c r="B30" s="40"/>
      <c r="C30" s="41"/>
      <c r="D30" s="42"/>
      <c r="E30" s="43"/>
      <c r="F30" s="43"/>
      <c r="G30" s="43"/>
      <c r="H30" s="43"/>
      <c r="I30" s="43"/>
      <c r="J30" s="43"/>
      <c r="K30" s="43"/>
      <c r="L30" s="43"/>
      <c r="M30" s="43"/>
      <c r="N30" s="43"/>
      <c r="O30" s="43"/>
      <c r="P30" s="43"/>
      <c r="Q30" s="44"/>
      <c r="R30" s="42"/>
      <c r="S30" s="43"/>
      <c r="T30" s="44"/>
      <c r="U30" s="43"/>
      <c r="V30" s="43"/>
      <c r="W30" s="44"/>
    </row>
    <row r="31" spans="2:23" ht="14.25">
      <c r="B31" s="40">
        <v>10</v>
      </c>
      <c r="C31" s="41">
        <v>60</v>
      </c>
      <c r="D31" s="42" t="s">
        <v>209</v>
      </c>
      <c r="E31" s="43"/>
      <c r="F31" s="43"/>
      <c r="G31" s="43"/>
      <c r="H31" s="43"/>
      <c r="I31" s="43"/>
      <c r="J31" s="43"/>
      <c r="K31" s="43"/>
      <c r="L31" s="43"/>
      <c r="M31" s="43"/>
      <c r="N31" s="43">
        <v>0</v>
      </c>
      <c r="O31" s="43"/>
      <c r="P31" s="43">
        <v>0</v>
      </c>
      <c r="Q31" s="44"/>
      <c r="R31" s="42"/>
      <c r="S31" s="43"/>
      <c r="T31" s="44"/>
      <c r="U31" s="43"/>
      <c r="V31" s="43"/>
      <c r="W31" s="44"/>
    </row>
    <row r="32" spans="2:23" ht="14.25">
      <c r="B32" s="40"/>
      <c r="C32" s="41"/>
      <c r="D32" s="42" t="s">
        <v>210</v>
      </c>
      <c r="E32" s="43"/>
      <c r="F32" s="43"/>
      <c r="G32" s="43"/>
      <c r="H32" s="43"/>
      <c r="I32" s="43"/>
      <c r="J32" s="43"/>
      <c r="K32" s="43"/>
      <c r="L32" s="43"/>
      <c r="M32" s="43"/>
      <c r="N32" s="43"/>
      <c r="O32" s="43"/>
      <c r="P32" s="43"/>
      <c r="Q32" s="44"/>
      <c r="R32" s="42"/>
      <c r="S32" s="43"/>
      <c r="T32" s="44"/>
      <c r="U32" s="43"/>
      <c r="V32" s="43"/>
      <c r="W32" s="44"/>
    </row>
    <row r="33" spans="2:23" ht="14.25">
      <c r="B33" s="45"/>
      <c r="C33" s="46"/>
      <c r="D33" s="19"/>
      <c r="E33" s="20"/>
      <c r="F33" s="20"/>
      <c r="G33" s="20"/>
      <c r="H33" s="20"/>
      <c r="I33" s="20"/>
      <c r="J33" s="20"/>
      <c r="K33" s="20"/>
      <c r="L33" s="20"/>
      <c r="M33" s="20"/>
      <c r="N33" s="20"/>
      <c r="O33" s="20"/>
      <c r="P33" s="20"/>
      <c r="Q33" s="23"/>
      <c r="R33" s="19"/>
      <c r="S33" s="20"/>
      <c r="T33" s="23"/>
      <c r="U33" s="20"/>
      <c r="V33" s="20"/>
      <c r="W33" s="23"/>
    </row>
    <row r="34" spans="2:23" ht="14.25">
      <c r="B34" s="45">
        <v>20</v>
      </c>
      <c r="C34" s="46">
        <v>10</v>
      </c>
      <c r="D34" s="19" t="s">
        <v>203</v>
      </c>
      <c r="E34" s="20"/>
      <c r="F34" s="20"/>
      <c r="G34" s="20"/>
      <c r="H34" s="20"/>
      <c r="I34" s="20"/>
      <c r="J34" s="20"/>
      <c r="K34" s="20"/>
      <c r="L34" s="20"/>
      <c r="M34" s="20"/>
      <c r="N34" s="20">
        <v>0.1</v>
      </c>
      <c r="O34" s="20"/>
      <c r="P34" s="20">
        <v>0.5</v>
      </c>
      <c r="R34" s="19"/>
      <c r="S34" s="20"/>
      <c r="T34" s="23"/>
      <c r="U34" s="20"/>
      <c r="V34" s="20"/>
      <c r="W34" s="23"/>
    </row>
    <row r="35" spans="2:23" ht="14.25">
      <c r="B35" s="45"/>
      <c r="C35" s="46"/>
      <c r="D35" s="19" t="s">
        <v>204</v>
      </c>
      <c r="E35" s="20"/>
      <c r="F35" s="20"/>
      <c r="G35" s="20"/>
      <c r="H35" s="20"/>
      <c r="I35" s="20"/>
      <c r="J35" s="20"/>
      <c r="K35" s="20"/>
      <c r="L35" s="20"/>
      <c r="M35" s="20"/>
      <c r="N35" s="20"/>
      <c r="O35" s="20"/>
      <c r="P35" s="20"/>
      <c r="R35" s="19"/>
      <c r="S35" s="20"/>
      <c r="T35" s="23"/>
      <c r="U35" s="20"/>
      <c r="V35" s="20"/>
      <c r="W35" s="23"/>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0">
        <v>30</v>
      </c>
      <c r="C37" s="40">
        <v>10</v>
      </c>
      <c r="D37" s="43" t="s">
        <v>379</v>
      </c>
      <c r="E37" s="43"/>
      <c r="F37" s="43"/>
      <c r="G37" s="43"/>
      <c r="H37" s="43"/>
      <c r="I37" s="43"/>
      <c r="J37" s="43"/>
      <c r="K37" s="43"/>
      <c r="L37" s="43"/>
      <c r="M37" s="43"/>
      <c r="N37" s="43">
        <v>0.25</v>
      </c>
      <c r="O37" s="43"/>
      <c r="P37" s="43">
        <v>1.5</v>
      </c>
      <c r="Q37" s="43"/>
      <c r="R37" s="42"/>
      <c r="S37" s="43"/>
      <c r="T37" s="44"/>
      <c r="U37" s="43"/>
      <c r="V37" s="43"/>
      <c r="W37" s="44"/>
    </row>
    <row r="38" spans="2:23" ht="14.25">
      <c r="B38" s="40"/>
      <c r="C38" s="40"/>
      <c r="D38" s="43" t="s">
        <v>380</v>
      </c>
      <c r="E38" s="43"/>
      <c r="F38" s="43"/>
      <c r="G38" s="43"/>
      <c r="H38" s="43"/>
      <c r="I38" s="43"/>
      <c r="J38" s="43"/>
      <c r="K38" s="43"/>
      <c r="L38" s="43"/>
      <c r="M38" s="43"/>
      <c r="N38" s="43"/>
      <c r="O38" s="43"/>
      <c r="P38" s="43"/>
      <c r="Q38" s="43"/>
      <c r="R38" s="42"/>
      <c r="S38" s="43"/>
      <c r="T38" s="44"/>
      <c r="U38" s="43"/>
      <c r="V38" s="43"/>
      <c r="W38" s="44"/>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v>40</v>
      </c>
      <c r="C40" s="45">
        <v>47</v>
      </c>
      <c r="D40" s="20" t="s">
        <v>163</v>
      </c>
      <c r="E40" s="20"/>
      <c r="F40" s="20"/>
      <c r="G40" s="20"/>
      <c r="H40" s="20"/>
      <c r="I40" s="20"/>
      <c r="J40" s="20"/>
      <c r="K40" s="20"/>
      <c r="L40" s="20"/>
      <c r="M40" s="20"/>
      <c r="N40" s="20">
        <v>0.25</v>
      </c>
      <c r="O40" s="20"/>
      <c r="P40" s="20">
        <v>0.5</v>
      </c>
      <c r="Q40" s="23"/>
      <c r="R40" s="20"/>
      <c r="S40" s="20"/>
      <c r="T40" s="23"/>
      <c r="U40" s="20"/>
      <c r="V40" s="20"/>
      <c r="W40" s="23"/>
    </row>
    <row r="41" spans="2:23" ht="14.25">
      <c r="B41" s="45"/>
      <c r="C41" s="98"/>
      <c r="D41" s="20" t="s">
        <v>164</v>
      </c>
      <c r="E41" s="20"/>
      <c r="F41" s="20"/>
      <c r="G41" s="20"/>
      <c r="H41" s="20"/>
      <c r="I41" s="20"/>
      <c r="J41" s="20"/>
      <c r="K41" s="20"/>
      <c r="L41" s="20"/>
      <c r="M41" s="20"/>
      <c r="N41" s="20"/>
      <c r="O41" s="20"/>
      <c r="P41" s="20"/>
      <c r="Q41" s="23"/>
      <c r="R41" s="20"/>
      <c r="S41" s="20"/>
      <c r="T41" s="23"/>
      <c r="U41" s="20"/>
      <c r="V41" s="20"/>
      <c r="W41" s="23"/>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v>50</v>
      </c>
      <c r="C43" s="41">
        <v>10</v>
      </c>
      <c r="D43" s="42" t="s">
        <v>202</v>
      </c>
      <c r="E43" s="43"/>
      <c r="F43" s="43"/>
      <c r="G43" s="43"/>
      <c r="H43" s="43"/>
      <c r="I43" s="43"/>
      <c r="J43" s="43"/>
      <c r="K43" s="43"/>
      <c r="L43" s="43"/>
      <c r="M43" s="43"/>
      <c r="N43" s="43">
        <v>0.1</v>
      </c>
      <c r="O43" s="43"/>
      <c r="P43" s="43">
        <v>4</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47</v>
      </c>
      <c r="D46" s="19" t="s">
        <v>201</v>
      </c>
      <c r="E46" s="20"/>
      <c r="F46" s="20"/>
      <c r="G46" s="20"/>
      <c r="H46" s="20"/>
      <c r="I46" s="20"/>
      <c r="J46" s="20"/>
      <c r="K46" s="20"/>
      <c r="L46" s="20"/>
      <c r="M46" s="20"/>
      <c r="N46" s="20">
        <v>0</v>
      </c>
      <c r="O46" s="20"/>
      <c r="P46" s="20">
        <v>1</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60</v>
      </c>
      <c r="D49" s="42" t="s">
        <v>67</v>
      </c>
      <c r="E49" s="43"/>
      <c r="F49" s="43"/>
      <c r="G49" s="43"/>
      <c r="H49" s="43"/>
      <c r="I49" s="43"/>
      <c r="J49" s="43"/>
      <c r="K49" s="43"/>
      <c r="L49" s="43"/>
      <c r="M49" s="43"/>
      <c r="N49" s="43">
        <v>0</v>
      </c>
      <c r="O49" s="43"/>
      <c r="P49" s="43">
        <v>0</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5" thickBot="1">
      <c r="B53" s="47"/>
      <c r="C53" s="48"/>
      <c r="D53" s="28"/>
      <c r="E53" s="29"/>
      <c r="F53" s="29"/>
      <c r="G53" s="29"/>
      <c r="H53" s="29"/>
      <c r="I53" s="29"/>
      <c r="J53" s="29"/>
      <c r="K53" s="29"/>
      <c r="L53" s="29"/>
      <c r="M53" s="49" t="s">
        <v>24</v>
      </c>
      <c r="N53" s="29">
        <f>SUM(N30:N51)</f>
        <v>0.7</v>
      </c>
      <c r="O53" s="29"/>
      <c r="P53" s="29">
        <f>SUM(P30:P51)</f>
        <v>7.5</v>
      </c>
      <c r="Q53" s="30"/>
      <c r="R53" s="28"/>
      <c r="S53" s="29"/>
      <c r="T53" s="30"/>
      <c r="U53" s="29"/>
      <c r="V53" s="29"/>
      <c r="W53"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6"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B2:W51"/>
  <sheetViews>
    <sheetView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416</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114378-00S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PORT, 10" CF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114378-00S</v>
      </c>
      <c r="H19" s="13" t="str">
        <f>D11</f>
        <v>TUBE, PORT, 10" CF </v>
      </c>
      <c r="Q19" s="13" t="s">
        <v>536</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f>INDEX(BOM!I:I,MATCH($P$3,BOM!$P:$P,0)+1,1)</f>
        <v>0</v>
      </c>
      <c r="H25" s="50" t="str">
        <f>INDEX(BOM!J:J,MATCH($P$3,BOM!$P:$P,0)+1,1)</f>
        <v>TUBE, .25 WALL, 8.00 OD, 5.54LG</v>
      </c>
      <c r="Q25" s="50">
        <f>INDEX(BOM!M:M,MATCH($P$3,BOM!$P:$P,0)+1,1)</f>
        <v>4</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209</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210</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532</v>
      </c>
      <c r="E32" s="20"/>
      <c r="F32" s="20"/>
      <c r="G32" s="20"/>
      <c r="H32" s="20"/>
      <c r="I32" s="20"/>
      <c r="J32" s="20"/>
      <c r="K32" s="20"/>
      <c r="L32" s="20"/>
      <c r="M32" s="20"/>
      <c r="N32" s="20">
        <v>0.1</v>
      </c>
      <c r="O32" s="20"/>
      <c r="P32" s="20">
        <v>1</v>
      </c>
      <c r="Q32" s="23"/>
      <c r="R32" s="19"/>
      <c r="S32" s="20"/>
      <c r="T32" s="23"/>
      <c r="U32" s="20"/>
      <c r="V32" s="20"/>
      <c r="W32" s="23"/>
    </row>
    <row r="33" spans="2:23" ht="15">
      <c r="B33" s="45"/>
      <c r="C33" s="46"/>
      <c r="D33" s="19" t="s">
        <v>533</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67</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5" thickBot="1">
      <c r="B51" s="47"/>
      <c r="C51" s="48"/>
      <c r="D51" s="28"/>
      <c r="E51" s="29"/>
      <c r="F51" s="29"/>
      <c r="G51" s="29"/>
      <c r="H51" s="29"/>
      <c r="I51" s="29"/>
      <c r="J51" s="29"/>
      <c r="K51" s="29"/>
      <c r="L51" s="29"/>
      <c r="M51" s="49" t="s">
        <v>24</v>
      </c>
      <c r="N51" s="29">
        <f>SUM(N28:N49)</f>
        <v>0.1</v>
      </c>
      <c r="O51" s="29"/>
      <c r="P51" s="29">
        <f>SUM(P28:P49)</f>
        <v>1</v>
      </c>
      <c r="Q51" s="30"/>
      <c r="R51" s="28"/>
      <c r="S51" s="29"/>
      <c r="T51" s="30"/>
      <c r="U51" s="29"/>
      <c r="V51" s="29"/>
      <c r="W51"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B2:W57"/>
  <sheetViews>
    <sheetView zoomScale="70" zoomScaleNormal="7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114386-00WM</v>
      </c>
      <c r="E9" s="20"/>
      <c r="F9" s="20"/>
      <c r="G9" s="20"/>
      <c r="H9" s="20"/>
      <c r="I9" s="20"/>
      <c r="J9" s="20"/>
      <c r="K9" s="20"/>
      <c r="L9" s="20"/>
      <c r="M9" s="20"/>
      <c r="N9" s="24" t="s">
        <v>2</v>
      </c>
      <c r="O9" s="20"/>
      <c r="P9" s="129" t="str">
        <f>INDEX(BOM!O:O,MATCH($P$3,BOM!$P:$P,0),1)</f>
        <v>12/31/10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MCA STAND, SINGLE SUPPORT</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16</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114386-00WM</v>
      </c>
      <c r="H19" s="13" t="str">
        <f>D11</f>
        <v>WELDMENT, MCA STAND, SINGLE SUPPORT</v>
      </c>
      <c r="Q19" s="13" t="s">
        <v>537</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114238-00M</v>
      </c>
      <c r="H26" s="50" t="str">
        <f>INDEX(BOM!J:J,MATCH($P$3,BOM!$P:$P,0)+1,1)</f>
        <v>MEMBER, VERTICAL, STAND, MC TUBES</v>
      </c>
      <c r="Q26" s="50">
        <f>INDEX(BOM!M:M,MATCH($P$3,BOM!$P:$P,0)+1,1)</f>
        <v>16</v>
      </c>
    </row>
    <row r="27" spans="2:17" ht="14.25">
      <c r="B27" s="31"/>
      <c r="C27" s="50" t="str">
        <f>INDEX(BOM!I:I,MATCH($P$3,BOM!$P:$P,0)+3,1)</f>
        <v>114246-00M</v>
      </c>
      <c r="H27" s="50" t="str">
        <f>INDEX(BOM!J:J,MATCH($P$3,BOM!$P:$P,0)+3,1)</f>
        <v>PLATE, FOOT, MC-TUBE STAND</v>
      </c>
      <c r="Q27" s="50">
        <f>INDEX(BOM!M:M,MATCH($P$3,BOM!$P:$P,0)+3,1)</f>
        <v>16</v>
      </c>
    </row>
    <row r="28" spans="2:17" ht="14.25">
      <c r="B28" s="31"/>
      <c r="C28" s="50" t="str">
        <f>INDEX(BOM!I:I,MATCH($P$3,BOM!$P:$P,0)+5,1)</f>
        <v>114244-00M</v>
      </c>
      <c r="H28" s="50" t="str">
        <f>INDEX(BOM!J:J,MATCH($P$3,BOM!$P:$P,0)+5,1)</f>
        <v>PLATE, BOLT, STAND, MC TUBES</v>
      </c>
      <c r="Q28" s="50">
        <f>INDEX(BOM!M:M,MATCH($P$3,BOM!$P:$P,0)+5,1)</f>
        <v>16</v>
      </c>
    </row>
    <row r="29" spans="2:17" ht="14.25">
      <c r="B29" s="31"/>
      <c r="C29" s="50"/>
      <c r="H29" s="50"/>
      <c r="Q29" s="50"/>
    </row>
    <row r="30" spans="2:17" ht="14.25">
      <c r="B30" s="31"/>
      <c r="C30" s="50"/>
      <c r="H30" s="50"/>
      <c r="Q30" s="50"/>
    </row>
    <row r="31" ht="15" thickBot="1">
      <c r="B31" s="31"/>
    </row>
    <row r="32" spans="2:23" ht="15" thickBot="1">
      <c r="B32" s="34" t="s">
        <v>17</v>
      </c>
      <c r="C32" s="35" t="s">
        <v>18</v>
      </c>
      <c r="D32" s="36" t="s">
        <v>19</v>
      </c>
      <c r="E32" s="37"/>
      <c r="F32" s="37"/>
      <c r="G32" s="37"/>
      <c r="H32" s="37"/>
      <c r="I32" s="37"/>
      <c r="J32" s="37"/>
      <c r="K32" s="37"/>
      <c r="L32" s="37"/>
      <c r="M32" s="37"/>
      <c r="N32" s="37" t="s">
        <v>20</v>
      </c>
      <c r="O32" s="37"/>
      <c r="P32" s="37" t="s">
        <v>21</v>
      </c>
      <c r="Q32" s="38"/>
      <c r="R32" s="36"/>
      <c r="S32" s="39" t="s">
        <v>22</v>
      </c>
      <c r="T32" s="38"/>
      <c r="U32" s="37"/>
      <c r="V32" s="39" t="s">
        <v>23</v>
      </c>
      <c r="W32" s="38"/>
    </row>
    <row r="33" spans="2:23" ht="14.25">
      <c r="B33" s="40"/>
      <c r="C33" s="41"/>
      <c r="D33" s="42"/>
      <c r="E33" s="43"/>
      <c r="F33" s="43"/>
      <c r="G33" s="43"/>
      <c r="H33" s="43"/>
      <c r="I33" s="43"/>
      <c r="J33" s="43"/>
      <c r="K33" s="43"/>
      <c r="L33" s="43"/>
      <c r="M33" s="43"/>
      <c r="N33" s="43"/>
      <c r="O33" s="43"/>
      <c r="P33" s="43"/>
      <c r="Q33" s="44"/>
      <c r="R33" s="42"/>
      <c r="S33" s="43"/>
      <c r="T33" s="44"/>
      <c r="U33" s="43"/>
      <c r="V33" s="43"/>
      <c r="W33" s="44"/>
    </row>
    <row r="34" spans="2:23" ht="14.25">
      <c r="B34" s="40">
        <v>10</v>
      </c>
      <c r="C34" s="41">
        <v>60</v>
      </c>
      <c r="D34" s="42" t="s">
        <v>209</v>
      </c>
      <c r="E34" s="43"/>
      <c r="F34" s="43"/>
      <c r="G34" s="43"/>
      <c r="H34" s="43"/>
      <c r="I34" s="43"/>
      <c r="J34" s="43"/>
      <c r="K34" s="43"/>
      <c r="L34" s="43"/>
      <c r="M34" s="43"/>
      <c r="N34" s="43">
        <v>0</v>
      </c>
      <c r="O34" s="43"/>
      <c r="P34" s="43">
        <v>0</v>
      </c>
      <c r="Q34" s="44"/>
      <c r="R34" s="42"/>
      <c r="S34" s="43"/>
      <c r="T34" s="44"/>
      <c r="U34" s="43"/>
      <c r="V34" s="43"/>
      <c r="W34" s="44"/>
    </row>
    <row r="35" spans="2:23" ht="14.25">
      <c r="B35" s="40"/>
      <c r="C35" s="41"/>
      <c r="D35" s="42" t="s">
        <v>210</v>
      </c>
      <c r="E35" s="43"/>
      <c r="F35" s="43"/>
      <c r="G35" s="43"/>
      <c r="H35" s="43"/>
      <c r="I35" s="43"/>
      <c r="J35" s="43"/>
      <c r="K35" s="43"/>
      <c r="L35" s="43"/>
      <c r="M35" s="43"/>
      <c r="N35" s="43"/>
      <c r="O35" s="43"/>
      <c r="P35" s="43"/>
      <c r="Q35" s="44"/>
      <c r="R35" s="42"/>
      <c r="S35" s="43"/>
      <c r="T35" s="44"/>
      <c r="U35" s="43"/>
      <c r="V35" s="43"/>
      <c r="W35" s="44"/>
    </row>
    <row r="36" spans="2:23" ht="14.25">
      <c r="B36" s="45"/>
      <c r="C36" s="46"/>
      <c r="D36" s="19"/>
      <c r="E36" s="20"/>
      <c r="F36" s="20"/>
      <c r="G36" s="20"/>
      <c r="H36" s="20"/>
      <c r="I36" s="20"/>
      <c r="J36" s="20"/>
      <c r="K36" s="20"/>
      <c r="L36" s="20"/>
      <c r="M36" s="20"/>
      <c r="N36" s="20"/>
      <c r="O36" s="20"/>
      <c r="P36" s="20"/>
      <c r="Q36" s="23"/>
      <c r="R36" s="19"/>
      <c r="S36" s="20"/>
      <c r="T36" s="23"/>
      <c r="U36" s="20"/>
      <c r="V36" s="20"/>
      <c r="W36" s="23"/>
    </row>
    <row r="37" spans="2:23" ht="14.25">
      <c r="B37" s="45">
        <v>20</v>
      </c>
      <c r="C37" s="46">
        <v>60</v>
      </c>
      <c r="D37" s="19" t="s">
        <v>530</v>
      </c>
      <c r="E37" s="20"/>
      <c r="F37" s="20"/>
      <c r="G37" s="20"/>
      <c r="H37" s="20"/>
      <c r="I37" s="20"/>
      <c r="J37" s="20"/>
      <c r="K37" s="20"/>
      <c r="L37" s="20"/>
      <c r="M37" s="20"/>
      <c r="N37" s="20">
        <v>0.1</v>
      </c>
      <c r="O37" s="20"/>
      <c r="P37" s="20">
        <v>0.5</v>
      </c>
      <c r="R37" s="19"/>
      <c r="S37" s="20"/>
      <c r="T37" s="23"/>
      <c r="U37" s="20"/>
      <c r="V37" s="20"/>
      <c r="W37" s="23"/>
    </row>
    <row r="38" spans="2:23" ht="14.25">
      <c r="B38" s="45"/>
      <c r="C38" s="46"/>
      <c r="D38" s="19" t="s">
        <v>531</v>
      </c>
      <c r="E38" s="20"/>
      <c r="F38" s="20"/>
      <c r="G38" s="20"/>
      <c r="H38" s="20"/>
      <c r="I38" s="20"/>
      <c r="J38" s="20"/>
      <c r="K38" s="20"/>
      <c r="L38" s="20"/>
      <c r="M38" s="20"/>
      <c r="N38" s="20"/>
      <c r="O38" s="20"/>
      <c r="P38" s="20"/>
      <c r="R38" s="19"/>
      <c r="S38" s="20"/>
      <c r="T38" s="23"/>
      <c r="U38" s="20"/>
      <c r="V38" s="20"/>
      <c r="W38" s="23"/>
    </row>
    <row r="39" spans="2:23" ht="14.25">
      <c r="B39" s="40"/>
      <c r="C39" s="40"/>
      <c r="D39" s="43" t="s">
        <v>316</v>
      </c>
      <c r="E39" s="43"/>
      <c r="F39" s="43"/>
      <c r="G39" s="43"/>
      <c r="H39" s="43"/>
      <c r="I39" s="43"/>
      <c r="J39" s="43"/>
      <c r="K39" s="43"/>
      <c r="L39" s="43"/>
      <c r="M39" s="43"/>
      <c r="N39" s="43"/>
      <c r="O39" s="43"/>
      <c r="P39" s="43"/>
      <c r="Q39" s="44"/>
      <c r="R39" s="42"/>
      <c r="S39" s="43"/>
      <c r="T39" s="44"/>
      <c r="U39" s="43"/>
      <c r="V39" s="43"/>
      <c r="W39" s="44"/>
    </row>
    <row r="40" spans="2:23" ht="14.25">
      <c r="B40" s="40">
        <v>30</v>
      </c>
      <c r="C40" s="40">
        <v>10</v>
      </c>
      <c r="D40" s="43" t="s">
        <v>315</v>
      </c>
      <c r="E40" s="43"/>
      <c r="F40" s="43"/>
      <c r="G40" s="43"/>
      <c r="H40" s="43"/>
      <c r="I40" s="43"/>
      <c r="J40" s="43"/>
      <c r="K40" s="43"/>
      <c r="L40" s="43"/>
      <c r="M40" s="43"/>
      <c r="N40" s="43">
        <v>0.25</v>
      </c>
      <c r="O40" s="43"/>
      <c r="P40" s="43">
        <v>8</v>
      </c>
      <c r="Q40" s="43"/>
      <c r="R40" s="42"/>
      <c r="S40" s="43"/>
      <c r="T40" s="44"/>
      <c r="U40" s="43"/>
      <c r="V40" s="43"/>
      <c r="W40" s="44"/>
    </row>
    <row r="41" spans="2:23" ht="14.25">
      <c r="B41" s="40"/>
      <c r="C41" s="40"/>
      <c r="D41" s="43" t="s">
        <v>317</v>
      </c>
      <c r="E41" s="43"/>
      <c r="F41" s="43"/>
      <c r="G41" s="43"/>
      <c r="H41" s="43"/>
      <c r="I41" s="43"/>
      <c r="J41" s="43"/>
      <c r="K41" s="43"/>
      <c r="L41" s="43"/>
      <c r="M41" s="43"/>
      <c r="N41" s="43"/>
      <c r="O41" s="43"/>
      <c r="P41" s="43"/>
      <c r="Q41" s="43"/>
      <c r="R41" s="42"/>
      <c r="S41" s="43"/>
      <c r="T41" s="44"/>
      <c r="U41" s="43"/>
      <c r="V41" s="43"/>
      <c r="W41" s="44"/>
    </row>
    <row r="42" spans="2:23" ht="14.25">
      <c r="B42" s="45"/>
      <c r="C42" s="46"/>
      <c r="D42" s="19"/>
      <c r="E42" s="20"/>
      <c r="F42" s="20"/>
      <c r="G42" s="20"/>
      <c r="H42" s="20"/>
      <c r="I42" s="20"/>
      <c r="J42" s="20"/>
      <c r="K42" s="20"/>
      <c r="L42" s="20"/>
      <c r="M42" s="20"/>
      <c r="N42" s="20"/>
      <c r="O42" s="20"/>
      <c r="P42" s="20"/>
      <c r="Q42" s="23"/>
      <c r="R42" s="19"/>
      <c r="S42" s="20"/>
      <c r="T42" s="23"/>
      <c r="U42" s="20"/>
      <c r="V42" s="20"/>
      <c r="W42" s="23"/>
    </row>
    <row r="43" spans="2:23" ht="14.25">
      <c r="B43" s="40">
        <v>50</v>
      </c>
      <c r="C43" s="41">
        <v>47</v>
      </c>
      <c r="D43" s="42" t="s">
        <v>318</v>
      </c>
      <c r="E43" s="43"/>
      <c r="F43" s="43"/>
      <c r="G43" s="43"/>
      <c r="H43" s="43"/>
      <c r="I43" s="43"/>
      <c r="J43" s="43"/>
      <c r="K43" s="43"/>
      <c r="L43" s="43"/>
      <c r="M43" s="43"/>
      <c r="N43" s="43">
        <v>0.1</v>
      </c>
      <c r="O43" s="43"/>
      <c r="P43" s="43">
        <v>1</v>
      </c>
      <c r="Q43" s="44"/>
      <c r="R43" s="42"/>
      <c r="S43" s="43"/>
      <c r="T43" s="44"/>
      <c r="U43" s="43"/>
      <c r="V43" s="43"/>
      <c r="W43" s="44"/>
    </row>
    <row r="44" spans="2:23" ht="14.25">
      <c r="B44" s="40"/>
      <c r="C44" s="41"/>
      <c r="D44" s="42"/>
      <c r="E44" s="43"/>
      <c r="F44" s="43"/>
      <c r="G44" s="43"/>
      <c r="H44" s="43"/>
      <c r="I44" s="43"/>
      <c r="J44" s="43"/>
      <c r="K44" s="43"/>
      <c r="L44" s="43"/>
      <c r="M44" s="43"/>
      <c r="N44" s="43"/>
      <c r="O44" s="43"/>
      <c r="P44" s="43"/>
      <c r="Q44" s="44"/>
      <c r="R44" s="42"/>
      <c r="S44" s="43"/>
      <c r="T44" s="44"/>
      <c r="U44" s="43"/>
      <c r="V44" s="43"/>
      <c r="W44" s="44"/>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v>60</v>
      </c>
      <c r="C46" s="46">
        <v>10</v>
      </c>
      <c r="D46" s="19" t="s">
        <v>319</v>
      </c>
      <c r="E46" s="20"/>
      <c r="F46" s="20"/>
      <c r="G46" s="20"/>
      <c r="H46" s="20"/>
      <c r="I46" s="20"/>
      <c r="J46" s="20"/>
      <c r="K46" s="20"/>
      <c r="L46" s="20"/>
      <c r="M46" s="20"/>
      <c r="N46" s="20">
        <v>0.25</v>
      </c>
      <c r="O46" s="20"/>
      <c r="P46" s="20">
        <v>16</v>
      </c>
      <c r="Q46" s="23"/>
      <c r="R46" s="19"/>
      <c r="S46" s="20"/>
      <c r="T46" s="23"/>
      <c r="U46" s="20"/>
      <c r="V46" s="20"/>
      <c r="W46" s="23"/>
    </row>
    <row r="47" spans="2:23" ht="14.25">
      <c r="B47" s="45"/>
      <c r="C47" s="46"/>
      <c r="D47" s="19"/>
      <c r="E47" s="20"/>
      <c r="F47" s="20"/>
      <c r="G47" s="20"/>
      <c r="H47" s="20"/>
      <c r="I47" s="20"/>
      <c r="J47" s="20"/>
      <c r="K47" s="20"/>
      <c r="L47" s="20"/>
      <c r="M47" s="20"/>
      <c r="N47" s="20"/>
      <c r="O47" s="20"/>
      <c r="P47" s="20"/>
      <c r="Q47" s="23"/>
      <c r="R47" s="19"/>
      <c r="S47" s="20"/>
      <c r="T47" s="23"/>
      <c r="U47" s="20"/>
      <c r="V47" s="20"/>
      <c r="W47" s="23"/>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v>70</v>
      </c>
      <c r="C49" s="41">
        <v>47</v>
      </c>
      <c r="D49" s="42" t="s">
        <v>318</v>
      </c>
      <c r="E49" s="43"/>
      <c r="F49" s="43"/>
      <c r="G49" s="43"/>
      <c r="H49" s="43"/>
      <c r="I49" s="43"/>
      <c r="J49" s="43"/>
      <c r="K49" s="43"/>
      <c r="L49" s="43"/>
      <c r="M49" s="43"/>
      <c r="N49" s="43">
        <v>0.1</v>
      </c>
      <c r="O49" s="43"/>
      <c r="P49" s="43">
        <v>1</v>
      </c>
      <c r="Q49" s="44"/>
      <c r="R49" s="42"/>
      <c r="S49" s="43"/>
      <c r="T49" s="44"/>
      <c r="U49" s="43"/>
      <c r="V49" s="43"/>
      <c r="W49" s="44"/>
    </row>
    <row r="50" spans="2:23" ht="14.25">
      <c r="B50" s="40"/>
      <c r="C50" s="41"/>
      <c r="D50" s="42"/>
      <c r="E50" s="43"/>
      <c r="F50" s="43"/>
      <c r="G50" s="43"/>
      <c r="H50" s="43"/>
      <c r="I50" s="43"/>
      <c r="J50" s="43"/>
      <c r="K50" s="43"/>
      <c r="L50" s="43"/>
      <c r="M50" s="43"/>
      <c r="N50" s="43"/>
      <c r="O50" s="43"/>
      <c r="P50" s="43"/>
      <c r="Q50" s="44"/>
      <c r="R50" s="42"/>
      <c r="S50" s="43"/>
      <c r="T50" s="44"/>
      <c r="U50" s="43"/>
      <c r="V50" s="43"/>
      <c r="W50" s="44"/>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v>80</v>
      </c>
      <c r="C52" s="46">
        <v>20</v>
      </c>
      <c r="D52" s="19" t="s">
        <v>520</v>
      </c>
      <c r="E52" s="20"/>
      <c r="F52" s="20"/>
      <c r="G52" s="20"/>
      <c r="H52" s="20"/>
      <c r="I52" s="20"/>
      <c r="J52" s="20"/>
      <c r="K52" s="20"/>
      <c r="L52" s="20"/>
      <c r="M52" s="20"/>
      <c r="N52" s="20">
        <v>0.5</v>
      </c>
      <c r="O52" s="20"/>
      <c r="P52" s="20">
        <v>8</v>
      </c>
      <c r="Q52" s="23"/>
      <c r="R52" s="19"/>
      <c r="S52" s="20"/>
      <c r="T52" s="23"/>
      <c r="U52" s="20"/>
      <c r="V52" s="20"/>
      <c r="W52" s="23"/>
    </row>
    <row r="53" spans="2:23" ht="14.25">
      <c r="B53" s="45"/>
      <c r="C53" s="46"/>
      <c r="D53" s="19"/>
      <c r="E53" s="20"/>
      <c r="F53" s="20"/>
      <c r="G53" s="20"/>
      <c r="H53" s="20"/>
      <c r="I53" s="20"/>
      <c r="J53" s="20"/>
      <c r="K53" s="20"/>
      <c r="L53" s="20"/>
      <c r="M53" s="20"/>
      <c r="N53" s="20"/>
      <c r="O53" s="20"/>
      <c r="P53" s="20"/>
      <c r="Q53" s="23"/>
      <c r="R53" s="19"/>
      <c r="S53" s="20"/>
      <c r="T53" s="23"/>
      <c r="U53" s="20"/>
      <c r="V53" s="20"/>
      <c r="W53" s="23"/>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v>90</v>
      </c>
      <c r="C55" s="41">
        <v>60</v>
      </c>
      <c r="D55" s="42" t="s">
        <v>67</v>
      </c>
      <c r="E55" s="43"/>
      <c r="F55" s="43"/>
      <c r="G55" s="43"/>
      <c r="H55" s="43"/>
      <c r="I55" s="43"/>
      <c r="J55" s="43"/>
      <c r="K55" s="43"/>
      <c r="L55" s="43"/>
      <c r="M55" s="43"/>
      <c r="N55" s="43">
        <v>0.1</v>
      </c>
      <c r="O55" s="43"/>
      <c r="P55" s="43">
        <v>0.1</v>
      </c>
      <c r="Q55" s="44"/>
      <c r="R55" s="42"/>
      <c r="S55" s="43"/>
      <c r="T55" s="44"/>
      <c r="U55" s="43"/>
      <c r="V55" s="43"/>
      <c r="W55" s="44"/>
    </row>
    <row r="56" spans="2:23" ht="14.25">
      <c r="B56" s="40"/>
      <c r="C56" s="41"/>
      <c r="D56" s="42"/>
      <c r="E56" s="43"/>
      <c r="F56" s="43"/>
      <c r="G56" s="43"/>
      <c r="H56" s="43"/>
      <c r="I56" s="43"/>
      <c r="J56" s="43"/>
      <c r="K56" s="43"/>
      <c r="L56" s="43"/>
      <c r="M56" s="43"/>
      <c r="N56" s="43"/>
      <c r="O56" s="43"/>
      <c r="P56" s="43"/>
      <c r="Q56" s="44"/>
      <c r="R56" s="42"/>
      <c r="S56" s="43"/>
      <c r="T56" s="44"/>
      <c r="U56" s="43"/>
      <c r="V56" s="43"/>
      <c r="W56" s="44"/>
    </row>
    <row r="57" spans="2:23" ht="15" thickBot="1">
      <c r="B57" s="47"/>
      <c r="C57" s="48"/>
      <c r="D57" s="28"/>
      <c r="E57" s="29"/>
      <c r="F57" s="29"/>
      <c r="G57" s="29"/>
      <c r="H57" s="29"/>
      <c r="I57" s="29"/>
      <c r="J57" s="29"/>
      <c r="K57" s="29"/>
      <c r="L57" s="29"/>
      <c r="M57" s="49" t="s">
        <v>24</v>
      </c>
      <c r="N57" s="29">
        <f>SUM(N33:N56)</f>
        <v>1.4</v>
      </c>
      <c r="O57" s="29"/>
      <c r="P57" s="29">
        <f>SUM(P33:P56)</f>
        <v>34.6</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7"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
      <selection activeCell="Y53" sqref="Y53"/>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114238-00M</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MEMBER, VERTICAL, STAND,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16</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114238-00M</v>
      </c>
      <c r="H19" s="13" t="str">
        <f>D11</f>
        <v>MEMBER, VERTICAL, STAND, MC TUBES</v>
      </c>
      <c r="Q19" s="13" t="s">
        <v>536</v>
      </c>
    </row>
    <row r="20" spans="2:17" ht="14.25">
      <c r="B20" s="31"/>
      <c r="C20" s="32"/>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TUBE, SQR, 5.00 X 5.00 OD, .50 WALL, 63.25 LG</v>
      </c>
      <c r="N26" s="50" t="str">
        <f>INDEX(BOM!N:N,MATCH($P$3,BOM!$P:$P,0)+1,1)</f>
        <v>ASTM A36 STEEL</v>
      </c>
      <c r="Q26" s="50">
        <f>INDEX(BOM!M:M,MATCH($P$3,BOM!$P:$P,0)+1,1)</f>
        <v>16</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43</v>
      </c>
      <c r="D33" s="19" t="s">
        <v>233</v>
      </c>
      <c r="E33" s="20"/>
      <c r="F33" s="20"/>
      <c r="G33" s="20"/>
      <c r="H33" s="20"/>
      <c r="I33" s="20"/>
      <c r="J33" s="20"/>
      <c r="K33" s="20"/>
      <c r="L33" s="20"/>
      <c r="M33" s="20"/>
      <c r="N33" s="20">
        <v>0.5</v>
      </c>
      <c r="O33" s="20"/>
      <c r="P33" s="20">
        <v>4</v>
      </c>
      <c r="Q33" s="23"/>
      <c r="R33" s="19"/>
      <c r="S33" s="20"/>
      <c r="T33" s="23"/>
      <c r="U33" s="20"/>
      <c r="V33" s="20"/>
      <c r="W33" s="23"/>
    </row>
    <row r="34" spans="2:23" ht="14.25">
      <c r="B34" s="45"/>
      <c r="C34" s="46"/>
      <c r="D34" s="19" t="s">
        <v>232</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320</v>
      </c>
      <c r="E36" s="43"/>
      <c r="F36" s="43"/>
      <c r="G36" s="43"/>
      <c r="H36" s="43"/>
      <c r="I36" s="43"/>
      <c r="J36" s="43"/>
      <c r="K36" s="43"/>
      <c r="L36" s="43"/>
      <c r="M36" s="43"/>
      <c r="N36" s="43">
        <v>0.5</v>
      </c>
      <c r="O36" s="43"/>
      <c r="P36" s="43">
        <v>8</v>
      </c>
      <c r="Q36" s="44"/>
      <c r="R36" s="42"/>
      <c r="S36" s="43"/>
      <c r="T36" s="44"/>
      <c r="U36" s="43"/>
      <c r="V36" s="43"/>
      <c r="W36" s="44"/>
    </row>
    <row r="37" spans="2:23" ht="14.25">
      <c r="B37" s="40"/>
      <c r="C37" s="41"/>
      <c r="D37" s="42" t="s">
        <v>232</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321</v>
      </c>
      <c r="E39" s="20"/>
      <c r="F39" s="20"/>
      <c r="G39" s="20"/>
      <c r="H39" s="20"/>
      <c r="I39" s="20"/>
      <c r="J39" s="20"/>
      <c r="K39" s="20"/>
      <c r="L39" s="20"/>
      <c r="M39" s="20"/>
      <c r="N39" s="20">
        <v>0.25</v>
      </c>
      <c r="O39" s="20"/>
      <c r="P39" s="20">
        <v>8</v>
      </c>
      <c r="Q39" s="23"/>
      <c r="R39" s="19"/>
      <c r="S39" s="20"/>
      <c r="T39" s="23"/>
      <c r="U39" s="20"/>
      <c r="V39" s="20"/>
      <c r="W39" s="23"/>
    </row>
    <row r="40" spans="2:23" ht="14.25">
      <c r="B40" s="45"/>
      <c r="C40" s="46"/>
      <c r="D40" s="19" t="s">
        <v>232</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60</v>
      </c>
      <c r="D42" s="42" t="s">
        <v>67</v>
      </c>
      <c r="E42" s="43"/>
      <c r="F42" s="43"/>
      <c r="G42" s="43"/>
      <c r="H42" s="43"/>
      <c r="I42" s="43"/>
      <c r="J42" s="43"/>
      <c r="K42" s="43"/>
      <c r="L42" s="43"/>
      <c r="M42" s="43"/>
      <c r="N42" s="43">
        <v>0</v>
      </c>
      <c r="O42" s="43"/>
      <c r="P42" s="43">
        <v>0</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1.25</v>
      </c>
      <c r="O52" s="29"/>
      <c r="P52" s="29">
        <f>SUM(P29:P50)</f>
        <v>20</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35.xml><?xml version="1.0" encoding="utf-8"?>
<worksheet xmlns="http://schemas.openxmlformats.org/spreadsheetml/2006/main" xmlns:r="http://schemas.openxmlformats.org/officeDocument/2006/relationships">
  <dimension ref="B2:W52"/>
  <sheetViews>
    <sheetView zoomScale="70" zoomScaleNormal="70" workbookViewId="0" topLeftCell="A1">
      <selection activeCell="AE34" sqref="AE34"/>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9.85156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114246-00M</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FOOT, MC-TUBE STAND</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16</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114246-00M</v>
      </c>
      <c r="H19" s="13" t="str">
        <f>D11</f>
        <v>PLATE, FOOT, MC-TUBE STAND</v>
      </c>
      <c r="Q19" s="13" t="s">
        <v>536</v>
      </c>
    </row>
    <row r="20" spans="2:17" ht="14.25">
      <c r="B20" s="31"/>
      <c r="C20" s="32"/>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1.00 THK, 10.25 WD, 10.25 LG</v>
      </c>
      <c r="N26" s="50" t="str">
        <f>INDEX(BOM!N:N,MATCH($P$3,BOM!$P:$P,0)+1,1)</f>
        <v>ASTM A36 STEEL</v>
      </c>
      <c r="Q26" s="50">
        <f>INDEX(BOM!M:M,MATCH($P$3,BOM!$P:$P,0)+1,1)</f>
        <v>16</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t="s">
        <v>528</v>
      </c>
      <c r="E32" s="20"/>
      <c r="F32" s="20"/>
      <c r="G32" s="20"/>
      <c r="H32" s="20"/>
      <c r="I32" s="20"/>
      <c r="J32" s="20"/>
      <c r="K32" s="20"/>
      <c r="L32" s="20"/>
      <c r="M32" s="20"/>
      <c r="N32" s="20">
        <v>0.25</v>
      </c>
      <c r="O32" s="20"/>
      <c r="P32" s="20">
        <v>4</v>
      </c>
      <c r="Q32" s="23"/>
      <c r="R32" s="19"/>
      <c r="S32" s="20"/>
      <c r="T32" s="23"/>
      <c r="U32" s="20"/>
      <c r="V32" s="20"/>
      <c r="W32" s="23"/>
    </row>
    <row r="33" spans="2:23" ht="15">
      <c r="B33" s="45">
        <v>20</v>
      </c>
      <c r="C33" s="46">
        <v>1</v>
      </c>
      <c r="D33" s="19" t="s">
        <v>529</v>
      </c>
      <c r="E33" s="20"/>
      <c r="F33" s="20"/>
      <c r="G33" s="20"/>
      <c r="H33" s="20"/>
      <c r="I33" s="20"/>
      <c r="J33" s="20"/>
      <c r="K33" s="20"/>
      <c r="L33" s="20"/>
      <c r="M33" s="20"/>
      <c r="N33" s="20"/>
      <c r="O33" s="20"/>
      <c r="P33" s="20"/>
      <c r="Q33" s="23"/>
      <c r="R33" s="19"/>
      <c r="S33" s="20"/>
      <c r="T33" s="23"/>
      <c r="U33" s="20"/>
      <c r="V33" s="20"/>
      <c r="W33" s="23"/>
    </row>
    <row r="34" spans="2:23" ht="14.25">
      <c r="B34" s="45"/>
      <c r="C34" s="46"/>
      <c r="D34" s="19"/>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60</v>
      </c>
      <c r="D36" s="42" t="s">
        <v>67</v>
      </c>
      <c r="E36" s="43"/>
      <c r="F36" s="43"/>
      <c r="G36" s="43"/>
      <c r="H36" s="43"/>
      <c r="I36" s="43"/>
      <c r="J36" s="43"/>
      <c r="K36" s="43"/>
      <c r="L36" s="43"/>
      <c r="M36" s="43"/>
      <c r="N36" s="43">
        <v>0</v>
      </c>
      <c r="O36" s="43"/>
      <c r="P36" s="43">
        <v>0</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0.25</v>
      </c>
      <c r="O52" s="29"/>
      <c r="P52" s="29">
        <f>SUM(P29:P50)</f>
        <v>4</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9"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B2:W52"/>
  <sheetViews>
    <sheetView zoomScale="70" zoomScaleNormal="70" workbookViewId="0" topLeftCell="A10">
      <selection activeCell="L49" sqref="L49"/>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8.2812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420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114244-00M</v>
      </c>
      <c r="E9" s="20"/>
      <c r="F9" s="20"/>
      <c r="G9" s="20"/>
      <c r="H9" s="20"/>
      <c r="I9" s="20"/>
      <c r="J9" s="20"/>
      <c r="K9" s="20"/>
      <c r="L9" s="20"/>
      <c r="M9" s="20"/>
      <c r="N9" s="24" t="s">
        <v>2</v>
      </c>
      <c r="O9" s="20"/>
      <c r="P9" s="130"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PLATE, BOLT, STAND,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16</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114244-00M</v>
      </c>
      <c r="H19" s="13" t="str">
        <f>D11</f>
        <v>PLATE, BOLT, STAND, MC TUBES</v>
      </c>
      <c r="Q19" s="13" t="s">
        <v>536</v>
      </c>
    </row>
    <row r="20" spans="2:17" ht="14.25">
      <c r="B20" s="31"/>
      <c r="C20" s="32"/>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1.5 THK, 5.25 WD, 5.25 LG</v>
      </c>
      <c r="N26" s="50" t="str">
        <f>INDEX(BOM!N:N,MATCH($P$3,BOM!$P:$P,0)+1,1)</f>
        <v>ASTM A36 STEEL</v>
      </c>
      <c r="Q26" s="50">
        <f>INDEX(BOM!M:M,MATCH($P$3,BOM!$P:$P,0)+1,1)</f>
        <v>16</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25</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1</v>
      </c>
      <c r="D33" s="19" t="s">
        <v>322</v>
      </c>
      <c r="E33" s="20"/>
      <c r="F33" s="20"/>
      <c r="G33" s="20"/>
      <c r="H33" s="20"/>
      <c r="I33" s="20"/>
      <c r="J33" s="20"/>
      <c r="K33" s="20"/>
      <c r="L33" s="20"/>
      <c r="M33" s="20"/>
      <c r="N33" s="20">
        <v>1</v>
      </c>
      <c r="O33" s="20"/>
      <c r="P33" s="20">
        <v>4</v>
      </c>
      <c r="Q33" s="23"/>
      <c r="R33" s="19"/>
      <c r="S33" s="20"/>
      <c r="T33" s="23"/>
      <c r="U33" s="20"/>
      <c r="V33" s="20"/>
      <c r="W33" s="23"/>
    </row>
    <row r="34" spans="2:23" ht="14.25">
      <c r="B34" s="45"/>
      <c r="C34" s="46"/>
      <c r="D34" s="19" t="s">
        <v>232</v>
      </c>
      <c r="E34" s="20"/>
      <c r="F34" s="20"/>
      <c r="G34" s="20"/>
      <c r="H34" s="20"/>
      <c r="I34" s="20"/>
      <c r="J34" s="20"/>
      <c r="K34" s="20"/>
      <c r="L34" s="20"/>
      <c r="M34" s="20"/>
      <c r="N34" s="20"/>
      <c r="O34" s="20"/>
      <c r="P34" s="20"/>
      <c r="Q34" s="23"/>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323</v>
      </c>
      <c r="E36" s="43"/>
      <c r="F36" s="43"/>
      <c r="G36" s="43"/>
      <c r="H36" s="43"/>
      <c r="I36" s="43"/>
      <c r="J36" s="43"/>
      <c r="K36" s="43"/>
      <c r="L36" s="43"/>
      <c r="M36" s="43"/>
      <c r="N36" s="43">
        <v>1</v>
      </c>
      <c r="O36" s="43"/>
      <c r="P36" s="43">
        <v>6</v>
      </c>
      <c r="Q36" s="44"/>
      <c r="R36" s="42"/>
      <c r="S36" s="43"/>
      <c r="T36" s="44"/>
      <c r="U36" s="43"/>
      <c r="V36" s="43"/>
      <c r="W36" s="44"/>
    </row>
    <row r="37" spans="2:23" ht="14.25">
      <c r="B37" s="40"/>
      <c r="C37" s="41"/>
      <c r="D37" s="42" t="s">
        <v>232</v>
      </c>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60</v>
      </c>
      <c r="D39" s="19" t="s">
        <v>67</v>
      </c>
      <c r="E39" s="20"/>
      <c r="F39" s="20"/>
      <c r="G39" s="20"/>
      <c r="H39" s="20"/>
      <c r="I39" s="20"/>
      <c r="J39" s="20"/>
      <c r="K39" s="20"/>
      <c r="L39" s="20"/>
      <c r="M39" s="20"/>
      <c r="N39" s="20">
        <v>0</v>
      </c>
      <c r="O39" s="20"/>
      <c r="P39" s="20">
        <v>0</v>
      </c>
      <c r="Q39" s="23"/>
      <c r="R39" s="19"/>
      <c r="S39" s="20"/>
      <c r="T39" s="23"/>
      <c r="U39" s="20"/>
      <c r="V39" s="20"/>
      <c r="W39" s="23"/>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5" thickBot="1">
      <c r="B52" s="47"/>
      <c r="C52" s="48"/>
      <c r="D52" s="28"/>
      <c r="E52" s="29"/>
      <c r="F52" s="29"/>
      <c r="G52" s="29"/>
      <c r="H52" s="29"/>
      <c r="I52" s="29"/>
      <c r="J52" s="29"/>
      <c r="K52" s="29"/>
      <c r="L52" s="29"/>
      <c r="M52" s="49" t="s">
        <v>24</v>
      </c>
      <c r="N52" s="29">
        <f>SUM(N29:N50)</f>
        <v>2</v>
      </c>
      <c r="O52" s="29"/>
      <c r="P52" s="29">
        <f>SUM(P29:P50)</f>
        <v>10</v>
      </c>
      <c r="Q52" s="30"/>
      <c r="R52" s="28"/>
      <c r="S52" s="29"/>
      <c r="T52" s="30"/>
      <c r="U52" s="29"/>
      <c r="V52" s="29"/>
      <c r="W52"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91"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B2:W57"/>
  <sheetViews>
    <sheetView zoomScaleSheetLayoutView="90" workbookViewId="0" topLeftCell="A1">
      <selection activeCell="A7" sqref="A7:IV8"/>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3" width="3.8515625" style="13" customWidth="1"/>
    <col min="14" max="14" width="7.7109375" style="13" customWidth="1"/>
    <col min="15" max="15" width="2.7109375" style="13" customWidth="1"/>
    <col min="16" max="16" width="10.8515625" style="13" customWidth="1"/>
    <col min="17" max="17" width="4.2812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414</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114435-00S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10" CF, MC TUBE </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114435-00S</v>
      </c>
      <c r="H19" s="13" t="str">
        <f>D11</f>
        <v>TUBE, 10" CF, MC TUBE </v>
      </c>
      <c r="Q19" s="13" t="s">
        <v>145</v>
      </c>
    </row>
    <row r="20" spans="2:17" ht="14.25">
      <c r="B20" s="31"/>
      <c r="D20" s="13" t="s">
        <v>205</v>
      </c>
      <c r="H20" s="13" t="s">
        <v>207</v>
      </c>
      <c r="Q20" s="13" t="s">
        <v>145</v>
      </c>
    </row>
    <row r="21" spans="2:3" ht="14.25">
      <c r="B21" s="31" t="s">
        <v>11</v>
      </c>
      <c r="C21" s="13" t="s">
        <v>15</v>
      </c>
    </row>
    <row r="22" spans="2:4" ht="14.25">
      <c r="B22" s="31" t="s">
        <v>11</v>
      </c>
      <c r="C22" s="33" t="s">
        <v>13</v>
      </c>
      <c r="D22" s="66"/>
    </row>
    <row r="23" ht="14.25">
      <c r="B23" s="31"/>
    </row>
    <row r="24" spans="2:17" ht="14.25">
      <c r="B24" s="31" t="s">
        <v>11</v>
      </c>
      <c r="C24" s="13" t="s">
        <v>16</v>
      </c>
      <c r="Q24" s="13" t="s">
        <v>4</v>
      </c>
    </row>
    <row r="25" spans="2:17" ht="14.25">
      <c r="B25" s="31"/>
      <c r="C25" s="50">
        <f>INDEX(BOM!I:I,MATCH($P$3,BOM!$P:$P,0)+1,1)</f>
        <v>0</v>
      </c>
      <c r="H25" s="50" t="str">
        <f>INDEX(BOM!J:J,MATCH($P$3,BOM!$P:$P,0)+1,1)</f>
        <v>TUBE, 8.00 OD, .25 WALL, 4.28 LG</v>
      </c>
      <c r="Q25" s="50">
        <f>INDEX(BOM!M:M,MATCH($P$3,BOM!$P:$P,0)+1,1)</f>
        <v>48</v>
      </c>
    </row>
    <row r="26" ht="15" thickBot="1">
      <c r="B26" s="31"/>
    </row>
    <row r="27" spans="2:23" ht="15" thickBot="1">
      <c r="B27" s="34" t="s">
        <v>17</v>
      </c>
      <c r="C27" s="35" t="s">
        <v>18</v>
      </c>
      <c r="D27" s="36" t="s">
        <v>19</v>
      </c>
      <c r="E27" s="37"/>
      <c r="F27" s="37"/>
      <c r="G27" s="37"/>
      <c r="H27" s="37"/>
      <c r="I27" s="37"/>
      <c r="J27" s="37"/>
      <c r="K27" s="37"/>
      <c r="L27" s="37"/>
      <c r="M27" s="37"/>
      <c r="N27" s="37" t="s">
        <v>20</v>
      </c>
      <c r="O27" s="37"/>
      <c r="P27" s="37" t="s">
        <v>21</v>
      </c>
      <c r="Q27" s="38"/>
      <c r="R27" s="36"/>
      <c r="S27" s="39" t="s">
        <v>22</v>
      </c>
      <c r="T27" s="38"/>
      <c r="U27" s="37"/>
      <c r="V27" s="39" t="s">
        <v>23</v>
      </c>
      <c r="W27" s="38"/>
    </row>
    <row r="28" spans="2:23" ht="14.25">
      <c r="B28" s="40"/>
      <c r="C28" s="41"/>
      <c r="D28" s="42"/>
      <c r="E28" s="43"/>
      <c r="F28" s="43"/>
      <c r="G28" s="43"/>
      <c r="H28" s="43"/>
      <c r="I28" s="43"/>
      <c r="J28" s="43"/>
      <c r="K28" s="43"/>
      <c r="L28" s="43"/>
      <c r="M28" s="43"/>
      <c r="N28" s="43"/>
      <c r="O28" s="43"/>
      <c r="P28" s="43"/>
      <c r="Q28" s="44"/>
      <c r="R28" s="42"/>
      <c r="S28" s="43"/>
      <c r="T28" s="44"/>
      <c r="U28" s="43"/>
      <c r="V28" s="43"/>
      <c r="W28" s="44"/>
    </row>
    <row r="29" spans="2:23" ht="14.25">
      <c r="B29" s="40">
        <v>10</v>
      </c>
      <c r="C29" s="41">
        <v>60</v>
      </c>
      <c r="D29" s="42" t="s">
        <v>209</v>
      </c>
      <c r="E29" s="43"/>
      <c r="F29" s="43"/>
      <c r="G29" s="43"/>
      <c r="H29" s="43"/>
      <c r="I29" s="43"/>
      <c r="J29" s="43"/>
      <c r="K29" s="43"/>
      <c r="L29" s="43"/>
      <c r="M29" s="43"/>
      <c r="N29" s="43">
        <v>0</v>
      </c>
      <c r="O29" s="43"/>
      <c r="P29" s="43">
        <v>0</v>
      </c>
      <c r="Q29" s="44"/>
      <c r="R29" s="42"/>
      <c r="S29" s="43"/>
      <c r="T29" s="44"/>
      <c r="U29" s="43"/>
      <c r="V29" s="43"/>
      <c r="W29" s="44"/>
    </row>
    <row r="30" spans="2:23" ht="14.25">
      <c r="B30" s="40"/>
      <c r="C30" s="41"/>
      <c r="D30" s="42" t="s">
        <v>210</v>
      </c>
      <c r="E30" s="43"/>
      <c r="F30" s="43"/>
      <c r="G30" s="43"/>
      <c r="H30" s="43"/>
      <c r="I30" s="43"/>
      <c r="J30" s="43"/>
      <c r="K30" s="43"/>
      <c r="L30" s="43"/>
      <c r="M30" s="43"/>
      <c r="N30" s="43"/>
      <c r="O30" s="43"/>
      <c r="P30" s="43"/>
      <c r="Q30" s="44"/>
      <c r="R30" s="42"/>
      <c r="S30" s="43"/>
      <c r="T30" s="44"/>
      <c r="U30" s="43"/>
      <c r="V30" s="43"/>
      <c r="W30" s="44"/>
    </row>
    <row r="31" spans="2:23" ht="14.25">
      <c r="B31" s="45"/>
      <c r="C31" s="46"/>
      <c r="D31" s="19"/>
      <c r="E31" s="20"/>
      <c r="F31" s="20"/>
      <c r="G31" s="20"/>
      <c r="H31" s="20"/>
      <c r="I31" s="20"/>
      <c r="J31" s="20"/>
      <c r="K31" s="20"/>
      <c r="L31" s="20"/>
      <c r="M31" s="20"/>
      <c r="N31" s="20"/>
      <c r="O31" s="20"/>
      <c r="P31" s="20"/>
      <c r="Q31" s="23"/>
      <c r="R31" s="19"/>
      <c r="S31" s="20"/>
      <c r="T31" s="23"/>
      <c r="U31" s="20"/>
      <c r="V31" s="20"/>
      <c r="W31" s="23"/>
    </row>
    <row r="32" spans="2:23" ht="14.25">
      <c r="B32" s="45">
        <v>20</v>
      </c>
      <c r="C32" s="46">
        <v>43</v>
      </c>
      <c r="D32" s="19" t="s">
        <v>161</v>
      </c>
      <c r="E32" s="20"/>
      <c r="F32" s="20"/>
      <c r="G32" s="20"/>
      <c r="H32" s="20"/>
      <c r="I32" s="20"/>
      <c r="J32" s="20"/>
      <c r="K32" s="20"/>
      <c r="L32" s="20"/>
      <c r="M32" s="20"/>
      <c r="N32" s="20">
        <v>0.1</v>
      </c>
      <c r="O32" s="20"/>
      <c r="P32" s="20">
        <v>4</v>
      </c>
      <c r="Q32" s="23"/>
      <c r="R32" s="19"/>
      <c r="S32" s="20"/>
      <c r="T32" s="23"/>
      <c r="U32" s="20"/>
      <c r="V32" s="20"/>
      <c r="W32" s="23"/>
    </row>
    <row r="33" spans="2:23" ht="14.25">
      <c r="B33" s="45"/>
      <c r="C33" s="46"/>
      <c r="D33" s="19" t="s">
        <v>162</v>
      </c>
      <c r="E33" s="20"/>
      <c r="F33" s="20"/>
      <c r="G33" s="20"/>
      <c r="H33" s="20"/>
      <c r="I33" s="20"/>
      <c r="J33" s="20"/>
      <c r="K33" s="20"/>
      <c r="L33" s="20"/>
      <c r="M33" s="20"/>
      <c r="N33" s="20"/>
      <c r="O33" s="20"/>
      <c r="P33" s="20"/>
      <c r="Q33" s="23"/>
      <c r="R33" s="19"/>
      <c r="S33" s="20"/>
      <c r="T33" s="23"/>
      <c r="U33" s="20"/>
      <c r="V33" s="20"/>
      <c r="W33" s="23"/>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30</v>
      </c>
      <c r="C35" s="41">
        <v>60</v>
      </c>
      <c r="D35" s="42" t="s">
        <v>67</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c r="C38" s="98"/>
      <c r="Q38" s="23"/>
      <c r="R38" s="19"/>
      <c r="S38" s="20"/>
      <c r="T38" s="23"/>
      <c r="U38" s="20"/>
      <c r="V38" s="20"/>
      <c r="W38" s="23"/>
    </row>
    <row r="39" spans="2:23" ht="14.25">
      <c r="B39" s="45"/>
      <c r="C39" s="46"/>
      <c r="D39" s="19"/>
      <c r="E39" s="20"/>
      <c r="F39" s="20"/>
      <c r="G39" s="20"/>
      <c r="H39" s="20"/>
      <c r="I39" s="20"/>
      <c r="J39" s="20"/>
      <c r="K39" s="20"/>
      <c r="L39" s="20"/>
      <c r="M39" s="20"/>
      <c r="N39" s="20"/>
      <c r="O39" s="20"/>
      <c r="P39" s="20"/>
      <c r="Q39" s="23"/>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c r="C42" s="41"/>
      <c r="D42" s="42"/>
      <c r="E42" s="43"/>
      <c r="F42" s="43"/>
      <c r="G42" s="43"/>
      <c r="H42" s="43"/>
      <c r="I42" s="43"/>
      <c r="J42" s="43"/>
      <c r="K42" s="43"/>
      <c r="L42" s="43"/>
      <c r="M42" s="43"/>
      <c r="N42" s="43"/>
      <c r="O42" s="43"/>
      <c r="P42" s="43"/>
      <c r="Q42" s="44"/>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c r="C45" s="46"/>
      <c r="D45" s="19"/>
      <c r="E45" s="20"/>
      <c r="F45" s="20"/>
      <c r="G45" s="20"/>
      <c r="H45" s="20"/>
      <c r="I45" s="20"/>
      <c r="J45" s="20"/>
      <c r="K45" s="20"/>
      <c r="L45" s="20"/>
      <c r="M45" s="20"/>
      <c r="N45" s="20"/>
      <c r="O45" s="20"/>
      <c r="P45" s="20"/>
      <c r="Q45" s="23"/>
      <c r="R45" s="19"/>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SUM(N28:N55)</f>
        <v>0.1</v>
      </c>
      <c r="O57" s="29"/>
      <c r="P57" s="29">
        <f>SUM(P28:P55)</f>
        <v>4</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2"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W70"/>
  <sheetViews>
    <sheetView zoomScale="90" zoomScaleNormal="90" workbookViewId="0" topLeftCell="A1">
      <selection activeCell="Q22" sqref="Q22"/>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17" width="3.71093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387</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114248-00WS</v>
      </c>
      <c r="E9" s="20"/>
      <c r="F9" s="20"/>
      <c r="G9" s="20"/>
      <c r="H9" s="20"/>
      <c r="I9" s="20"/>
      <c r="J9" s="20"/>
      <c r="K9" s="20"/>
      <c r="L9" s="20"/>
      <c r="M9" s="20"/>
      <c r="N9" s="24" t="s">
        <v>2</v>
      </c>
      <c r="O9" s="20"/>
      <c r="P9" s="129" t="str">
        <f>INDEX(BOM!O:O,MATCH($P$3,BOM!$P:$P,0),1)</f>
        <v>12/31/10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114248-00WS</v>
      </c>
      <c r="H19" s="13" t="str">
        <f>D11</f>
        <v>WELDMENT, MC-A TUBE</v>
      </c>
      <c r="Q19" s="13" t="s">
        <v>145</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114249-00S</v>
      </c>
      <c r="H26" s="50" t="str">
        <f>INDEX(BOM!J:J,MATCH($P$3,BOM!$P:$P,0)+1,1)</f>
        <v>TUBE, LEFT, MCA TUBE</v>
      </c>
      <c r="Q26" s="50">
        <f>INDEX(BOM!M:M,MATCH($P$3,BOM!$P:$P,0)+1,1)</f>
        <v>4</v>
      </c>
    </row>
    <row r="27" spans="2:17" ht="14.25">
      <c r="B27" s="31"/>
      <c r="C27" s="50" t="str">
        <f>INDEX(BOM!I:I,MATCH($P$3,BOM!$P:$P,0)+19,1)</f>
        <v>114251-00S</v>
      </c>
      <c r="H27" s="50" t="str">
        <f>INDEX(BOM!J:J,MATCH($P$3,BOM!$P:$P,0)+19,1)</f>
        <v>TUBE, RIGHT, MCA TUBE </v>
      </c>
      <c r="Q27" s="50">
        <f>INDEX(BOM!M:M,MATCH($P$3,BOM!$P:$P,0)+19,1)</f>
        <v>4</v>
      </c>
    </row>
    <row r="28" spans="2:17" ht="14.25">
      <c r="B28" s="31"/>
      <c r="C28" s="50" t="str">
        <f>INDEX(BOM!I:I,MATCH($P$3,BOM!$P:$P,0)+38,1)</f>
        <v>114254-00S</v>
      </c>
      <c r="H28" s="50" t="str">
        <f>INDEX(BOM!J:J,MATCH($P$3,BOM!$P:$P,0)+38,1)</f>
        <v>FORGING, FLANGE, 84" ID, 92.25 OD, 1.38 THK</v>
      </c>
      <c r="Q28" s="50">
        <f>INDEX(BOM!M:M,MATCH($P$3,BOM!$P:$P,0)+38,1)</f>
        <v>4</v>
      </c>
    </row>
    <row r="29" spans="2:17" ht="14.25">
      <c r="B29" s="31"/>
      <c r="C29" s="50" t="str">
        <f>INDEX(BOM!I:I,MATCH($P$3,BOM!$P:$P,0)+39,1)</f>
        <v>114214-00WS</v>
      </c>
      <c r="H29" s="50" t="str">
        <f>INDEX(BOM!J:J,MATCH($P$3,BOM!$P:$P,0)+39,1)</f>
        <v>PORT, 12" OD CONFLAT, NR, THRU HOLES</v>
      </c>
      <c r="Q29" s="50">
        <f>INDEX(BOM!M:M,MATCH($P$3,BOM!$P:$P,0)+39,1)</f>
        <v>20</v>
      </c>
    </row>
    <row r="30" spans="2:17" ht="14.25">
      <c r="B30" s="31"/>
      <c r="C30" s="50" t="str">
        <f>INDEX(BOM!I:I,MATCH($P$3,BOM!$P:$P,0)+43,1)</f>
        <v>114255-00WS</v>
      </c>
      <c r="H30" s="50" t="str">
        <f>INDEX(BOM!J:J,MATCH($P$3,BOM!$P:$P,0)+43,1)</f>
        <v>WELDMENT, NIPPLE, BELLOWS, MCA TUBE</v>
      </c>
      <c r="Q30" s="50">
        <f>INDEX(BOM!M:M,MATCH($P$3,BOM!$P:$P,0)+43,1)</f>
        <v>4</v>
      </c>
    </row>
    <row r="31" spans="2:17" ht="14.25">
      <c r="B31" s="31"/>
      <c r="C31" s="50" t="str">
        <f>INDEX(BOM!I:I,MATCH($P$3,BOM!$P:$P,0)+63,1)</f>
        <v>114260-00WS</v>
      </c>
      <c r="H31" s="50" t="str">
        <f>INDEX(BOM!J:J,MATCH($P$3,BOM!$P:$P,0)+63,1)</f>
        <v>PORT, CONFLAT, 10", 4.84 LONG</v>
      </c>
      <c r="Q31" s="50">
        <f>INDEX(BOM!M:M,MATCH($P$3,BOM!$P:$P,0)+63,1)</f>
        <v>48</v>
      </c>
    </row>
    <row r="32" spans="2:17" ht="14.25">
      <c r="B32" s="31"/>
      <c r="C32" s="50" t="str">
        <f>INDEX(BOM!I:I,MATCH($P$3,BOM!$P:$P,0)+68,1)</f>
        <v>114261-00WS</v>
      </c>
      <c r="H32" s="50" t="str">
        <f>INDEX(BOM!J:J,MATCH($P$3,BOM!$P:$P,0)+68,1)</f>
        <v>PORT, CF, 10" NOM ID</v>
      </c>
      <c r="Q32" s="50">
        <f>INDEX(BOM!M:M,MATCH($P$3,BOM!$P:$P,0)+68,1)</f>
        <v>4</v>
      </c>
    </row>
    <row r="33" spans="2:17" ht="14.25">
      <c r="B33" s="31"/>
      <c r="C33" s="50"/>
      <c r="H33" s="50"/>
      <c r="Q33" s="50"/>
    </row>
    <row r="34" spans="2:17" ht="14.25">
      <c r="B34" s="31"/>
      <c r="C34" s="50"/>
      <c r="H34" s="50"/>
      <c r="Q34" s="50"/>
    </row>
    <row r="35" ht="15" thickBot="1">
      <c r="B35" s="31"/>
    </row>
    <row r="36" spans="2:23" ht="15" thickBot="1">
      <c r="B36" s="34" t="s">
        <v>17</v>
      </c>
      <c r="C36" s="35" t="s">
        <v>18</v>
      </c>
      <c r="D36" s="36" t="s">
        <v>19</v>
      </c>
      <c r="E36" s="37"/>
      <c r="F36" s="37"/>
      <c r="G36" s="37"/>
      <c r="H36" s="37"/>
      <c r="I36" s="37"/>
      <c r="J36" s="37"/>
      <c r="K36" s="37"/>
      <c r="L36" s="37"/>
      <c r="M36" s="37"/>
      <c r="N36" s="37" t="s">
        <v>20</v>
      </c>
      <c r="O36" s="37"/>
      <c r="P36" s="37" t="s">
        <v>21</v>
      </c>
      <c r="Q36" s="38"/>
      <c r="R36" s="36"/>
      <c r="S36" s="39" t="s">
        <v>22</v>
      </c>
      <c r="T36" s="38"/>
      <c r="U36" s="37"/>
      <c r="V36" s="39" t="s">
        <v>23</v>
      </c>
      <c r="W36" s="38"/>
    </row>
    <row r="37" spans="2:23" ht="14.25">
      <c r="B37" s="40"/>
      <c r="C37" s="41"/>
      <c r="D37" s="42" t="s">
        <v>258</v>
      </c>
      <c r="E37" s="43"/>
      <c r="F37" s="43"/>
      <c r="G37" s="43"/>
      <c r="H37" s="43"/>
      <c r="I37" s="43"/>
      <c r="J37" s="43"/>
      <c r="K37" s="43"/>
      <c r="L37" s="43"/>
      <c r="M37" s="43"/>
      <c r="N37" s="43"/>
      <c r="O37" s="43"/>
      <c r="P37" s="43"/>
      <c r="Q37" s="44"/>
      <c r="R37" s="42"/>
      <c r="S37" s="43"/>
      <c r="T37" s="44"/>
      <c r="U37" s="43"/>
      <c r="V37" s="43"/>
      <c r="W37" s="44"/>
    </row>
    <row r="38" spans="2:23" ht="14.25">
      <c r="B38" s="40">
        <v>10</v>
      </c>
      <c r="C38" s="41">
        <v>60</v>
      </c>
      <c r="D38" s="42" t="s">
        <v>259</v>
      </c>
      <c r="E38" s="43"/>
      <c r="F38" s="43"/>
      <c r="G38" s="43"/>
      <c r="H38" s="43"/>
      <c r="I38" s="43"/>
      <c r="J38" s="43"/>
      <c r="K38" s="43"/>
      <c r="L38" s="43"/>
      <c r="M38" s="43"/>
      <c r="N38" s="43">
        <v>0</v>
      </c>
      <c r="O38" s="43"/>
      <c r="P38" s="43">
        <v>0</v>
      </c>
      <c r="Q38" s="44"/>
      <c r="R38" s="42"/>
      <c r="S38" s="43"/>
      <c r="T38" s="44"/>
      <c r="U38" s="43"/>
      <c r="V38" s="43"/>
      <c r="W38" s="44"/>
    </row>
    <row r="39" spans="2:23" ht="14.25">
      <c r="B39" s="40"/>
      <c r="C39" s="41"/>
      <c r="D39" s="42" t="s">
        <v>260</v>
      </c>
      <c r="E39" s="43"/>
      <c r="F39" s="43"/>
      <c r="G39" s="43"/>
      <c r="H39" s="43"/>
      <c r="I39" s="43"/>
      <c r="J39" s="43"/>
      <c r="K39" s="43"/>
      <c r="L39" s="43"/>
      <c r="M39" s="43"/>
      <c r="N39" s="43"/>
      <c r="O39" s="43"/>
      <c r="P39" s="43"/>
      <c r="Q39" s="44"/>
      <c r="R39" s="42"/>
      <c r="S39" s="43"/>
      <c r="T39" s="44"/>
      <c r="U39" s="43"/>
      <c r="V39" s="43"/>
      <c r="W39" s="44"/>
    </row>
    <row r="40" spans="2:23" ht="14.25">
      <c r="B40" s="45"/>
      <c r="C40" s="46"/>
      <c r="D40" s="19"/>
      <c r="E40" s="20"/>
      <c r="F40" s="20"/>
      <c r="G40" s="20"/>
      <c r="H40" s="20"/>
      <c r="I40" s="20"/>
      <c r="J40" s="20"/>
      <c r="K40" s="20"/>
      <c r="L40" s="20"/>
      <c r="M40" s="20"/>
      <c r="N40" s="20"/>
      <c r="O40" s="20"/>
      <c r="P40" s="20"/>
      <c r="Q40" s="23"/>
      <c r="R40" s="19"/>
      <c r="S40" s="20"/>
      <c r="T40" s="23"/>
      <c r="U40" s="20"/>
      <c r="V40" s="20"/>
      <c r="W40" s="23"/>
    </row>
    <row r="41" spans="2:23" ht="14.25">
      <c r="B41" s="45">
        <v>20</v>
      </c>
      <c r="C41" s="46">
        <v>10</v>
      </c>
      <c r="D41" s="19" t="s">
        <v>261</v>
      </c>
      <c r="E41" s="20"/>
      <c r="F41" s="20"/>
      <c r="G41" s="20"/>
      <c r="H41" s="20"/>
      <c r="I41" s="20"/>
      <c r="J41" s="20"/>
      <c r="K41" s="20"/>
      <c r="L41" s="20"/>
      <c r="M41" s="20"/>
      <c r="N41" s="20">
        <v>0.25</v>
      </c>
      <c r="O41" s="20"/>
      <c r="P41" s="20">
        <v>2</v>
      </c>
      <c r="R41" s="19"/>
      <c r="S41" s="20"/>
      <c r="T41" s="23"/>
      <c r="U41" s="20"/>
      <c r="V41" s="20"/>
      <c r="W41" s="23"/>
    </row>
    <row r="42" spans="2:23" ht="14.25">
      <c r="B42" s="45"/>
      <c r="C42" s="46"/>
      <c r="D42" s="19" t="s">
        <v>262</v>
      </c>
      <c r="E42" s="20"/>
      <c r="F42" s="20"/>
      <c r="G42" s="20"/>
      <c r="H42" s="20"/>
      <c r="I42" s="20"/>
      <c r="J42" s="20"/>
      <c r="K42" s="20"/>
      <c r="L42" s="20"/>
      <c r="M42" s="20"/>
      <c r="N42" s="20"/>
      <c r="O42" s="20"/>
      <c r="P42" s="20"/>
      <c r="R42" s="19"/>
      <c r="S42" s="20"/>
      <c r="T42" s="23"/>
      <c r="U42" s="20"/>
      <c r="V42" s="20"/>
      <c r="W42" s="23"/>
    </row>
    <row r="43" spans="2:23" ht="14.25">
      <c r="B43" s="40"/>
      <c r="C43" s="41"/>
      <c r="D43" s="42" t="s">
        <v>263</v>
      </c>
      <c r="E43" s="43"/>
      <c r="F43" s="43"/>
      <c r="G43" s="43"/>
      <c r="H43" s="43"/>
      <c r="I43" s="43"/>
      <c r="J43" s="43"/>
      <c r="K43" s="43"/>
      <c r="L43" s="43"/>
      <c r="M43" s="43"/>
      <c r="N43" s="43"/>
      <c r="O43" s="43"/>
      <c r="P43" s="43"/>
      <c r="Q43" s="44"/>
      <c r="R43" s="42"/>
      <c r="S43" s="43"/>
      <c r="T43" s="44"/>
      <c r="U43" s="43"/>
      <c r="V43" s="43"/>
      <c r="W43" s="44"/>
    </row>
    <row r="44" spans="2:23" ht="14.25">
      <c r="B44" s="40">
        <v>30</v>
      </c>
      <c r="C44" s="40">
        <v>10</v>
      </c>
      <c r="D44" s="43" t="s">
        <v>264</v>
      </c>
      <c r="E44" s="43"/>
      <c r="F44" s="43"/>
      <c r="G44" s="43"/>
      <c r="H44" s="43"/>
      <c r="I44" s="43"/>
      <c r="J44" s="43"/>
      <c r="K44" s="43"/>
      <c r="L44" s="43"/>
      <c r="M44" s="43"/>
      <c r="N44" s="43">
        <v>0.5</v>
      </c>
      <c r="O44" s="43"/>
      <c r="P44" s="43">
        <v>4</v>
      </c>
      <c r="Q44" s="43"/>
      <c r="R44" s="42"/>
      <c r="S44" s="43"/>
      <c r="T44" s="44"/>
      <c r="U44" s="43"/>
      <c r="V44" s="43"/>
      <c r="W44" s="44"/>
    </row>
    <row r="45" spans="2:23" ht="14.25">
      <c r="B45" s="40"/>
      <c r="C45" s="40"/>
      <c r="D45" s="43" t="s">
        <v>241</v>
      </c>
      <c r="E45" s="43"/>
      <c r="F45" s="43"/>
      <c r="G45" s="43"/>
      <c r="H45" s="43"/>
      <c r="I45" s="43"/>
      <c r="J45" s="43"/>
      <c r="K45" s="43"/>
      <c r="L45" s="43"/>
      <c r="M45" s="43"/>
      <c r="N45" s="43"/>
      <c r="O45" s="43"/>
      <c r="P45" s="43"/>
      <c r="Q45" s="43"/>
      <c r="R45" s="42"/>
      <c r="S45" s="43"/>
      <c r="T45" s="44"/>
      <c r="U45" s="43"/>
      <c r="V45" s="43"/>
      <c r="W45" s="44"/>
    </row>
    <row r="46" spans="2:23" ht="14.25">
      <c r="B46" s="45"/>
      <c r="C46" s="46"/>
      <c r="D46" s="19" t="s">
        <v>265</v>
      </c>
      <c r="E46" s="20"/>
      <c r="F46" s="20"/>
      <c r="G46" s="20"/>
      <c r="H46" s="20"/>
      <c r="I46" s="20"/>
      <c r="J46" s="20"/>
      <c r="K46" s="20"/>
      <c r="L46" s="20"/>
      <c r="M46" s="20"/>
      <c r="N46" s="20"/>
      <c r="O46" s="20"/>
      <c r="P46" s="20"/>
      <c r="Q46" s="23"/>
      <c r="R46" s="19"/>
      <c r="S46" s="20"/>
      <c r="T46" s="23"/>
      <c r="U46" s="20"/>
      <c r="V46" s="20"/>
      <c r="W46" s="23"/>
    </row>
    <row r="47" spans="2:23" ht="14.25">
      <c r="B47" s="45">
        <v>40</v>
      </c>
      <c r="C47" s="45">
        <v>10</v>
      </c>
      <c r="D47" s="20" t="s">
        <v>266</v>
      </c>
      <c r="E47" s="20"/>
      <c r="F47" s="20"/>
      <c r="G47" s="20"/>
      <c r="H47" s="20"/>
      <c r="I47" s="20"/>
      <c r="J47" s="20"/>
      <c r="K47" s="20"/>
      <c r="L47" s="20"/>
      <c r="M47" s="20"/>
      <c r="N47" s="20">
        <v>0.25</v>
      </c>
      <c r="O47" s="20"/>
      <c r="P47" s="20">
        <v>4</v>
      </c>
      <c r="Q47" s="23"/>
      <c r="R47" s="20"/>
      <c r="S47" s="20"/>
      <c r="T47" s="23"/>
      <c r="U47" s="20"/>
      <c r="V47" s="20"/>
      <c r="W47" s="23"/>
    </row>
    <row r="48" spans="2:23" ht="14.25">
      <c r="B48" s="45"/>
      <c r="C48" s="98"/>
      <c r="D48" s="20" t="s">
        <v>241</v>
      </c>
      <c r="E48" s="20"/>
      <c r="F48" s="20"/>
      <c r="G48" s="20"/>
      <c r="H48" s="20"/>
      <c r="I48" s="20"/>
      <c r="J48" s="20"/>
      <c r="K48" s="20"/>
      <c r="L48" s="20"/>
      <c r="M48" s="20"/>
      <c r="N48" s="20"/>
      <c r="O48" s="20"/>
      <c r="P48" s="20"/>
      <c r="Q48" s="23"/>
      <c r="R48" s="20"/>
      <c r="S48" s="20"/>
      <c r="T48" s="23"/>
      <c r="U48" s="20"/>
      <c r="V48" s="20"/>
      <c r="W48" s="23"/>
    </row>
    <row r="49" spans="2:23" ht="14.25">
      <c r="B49" s="40"/>
      <c r="C49" s="41"/>
      <c r="D49" s="42" t="s">
        <v>267</v>
      </c>
      <c r="E49" s="43"/>
      <c r="F49" s="43"/>
      <c r="G49" s="43"/>
      <c r="H49" s="43"/>
      <c r="I49" s="43"/>
      <c r="J49" s="43"/>
      <c r="K49" s="43"/>
      <c r="L49" s="43"/>
      <c r="M49" s="43"/>
      <c r="N49" s="43"/>
      <c r="O49" s="43"/>
      <c r="P49" s="43"/>
      <c r="Q49" s="44"/>
      <c r="R49" s="42"/>
      <c r="S49" s="43"/>
      <c r="T49" s="44"/>
      <c r="U49" s="43"/>
      <c r="V49" s="43"/>
      <c r="W49" s="44"/>
    </row>
    <row r="50" spans="2:23" ht="14.25">
      <c r="B50" s="40">
        <v>50</v>
      </c>
      <c r="C50" s="41">
        <v>10</v>
      </c>
      <c r="D50" s="42" t="s">
        <v>268</v>
      </c>
      <c r="E50" s="43"/>
      <c r="F50" s="43"/>
      <c r="G50" s="43"/>
      <c r="H50" s="43"/>
      <c r="I50" s="43"/>
      <c r="J50" s="43"/>
      <c r="K50" s="43"/>
      <c r="L50" s="43"/>
      <c r="M50" s="43"/>
      <c r="N50" s="43">
        <v>0.5</v>
      </c>
      <c r="O50" s="43"/>
      <c r="P50" s="43">
        <v>4</v>
      </c>
      <c r="Q50" s="44"/>
      <c r="R50" s="42"/>
      <c r="S50" s="43"/>
      <c r="T50" s="44"/>
      <c r="U50" s="43"/>
      <c r="V50" s="43"/>
      <c r="W50" s="44"/>
    </row>
    <row r="51" spans="2:23" ht="14.25">
      <c r="B51" s="40"/>
      <c r="C51" s="40"/>
      <c r="D51" s="43" t="s">
        <v>241</v>
      </c>
      <c r="E51" s="43"/>
      <c r="F51" s="43"/>
      <c r="G51" s="43"/>
      <c r="H51" s="43"/>
      <c r="I51" s="43"/>
      <c r="J51" s="43"/>
      <c r="K51" s="43"/>
      <c r="L51" s="43"/>
      <c r="M51" s="43"/>
      <c r="N51" s="43"/>
      <c r="O51" s="43"/>
      <c r="P51" s="43"/>
      <c r="Q51" s="44"/>
      <c r="R51" s="42"/>
      <c r="S51" s="43"/>
      <c r="T51" s="44"/>
      <c r="U51" s="43"/>
      <c r="V51" s="43"/>
      <c r="W51" s="44"/>
    </row>
    <row r="52" spans="2:23" ht="14.25">
      <c r="B52" s="45"/>
      <c r="C52" s="46"/>
      <c r="D52" s="19" t="s">
        <v>269</v>
      </c>
      <c r="E52" s="20"/>
      <c r="F52" s="20"/>
      <c r="G52" s="20"/>
      <c r="H52" s="20"/>
      <c r="I52" s="20"/>
      <c r="J52" s="20"/>
      <c r="K52" s="20"/>
      <c r="L52" s="20"/>
      <c r="M52" s="20"/>
      <c r="N52" s="20"/>
      <c r="O52" s="20"/>
      <c r="P52" s="20"/>
      <c r="Q52" s="23"/>
      <c r="R52" s="19"/>
      <c r="S52" s="20"/>
      <c r="T52" s="23"/>
      <c r="U52" s="20"/>
      <c r="V52" s="20"/>
      <c r="W52" s="23"/>
    </row>
    <row r="53" spans="2:23" ht="14.25">
      <c r="B53" s="45">
        <v>60</v>
      </c>
      <c r="C53" s="46">
        <v>10</v>
      </c>
      <c r="D53" s="19" t="s">
        <v>381</v>
      </c>
      <c r="E53" s="20"/>
      <c r="F53" s="20"/>
      <c r="G53" s="20"/>
      <c r="H53" s="20"/>
      <c r="I53" s="20"/>
      <c r="J53" s="20"/>
      <c r="K53" s="20"/>
      <c r="L53" s="20"/>
      <c r="M53" s="20"/>
      <c r="N53" s="20">
        <v>1</v>
      </c>
      <c r="O53" s="20"/>
      <c r="P53" s="20">
        <v>8</v>
      </c>
      <c r="Q53" s="23"/>
      <c r="R53" s="19"/>
      <c r="S53" s="20"/>
      <c r="T53" s="23"/>
      <c r="U53" s="20"/>
      <c r="V53" s="20"/>
      <c r="W53" s="23"/>
    </row>
    <row r="54" spans="2:23" ht="14.25">
      <c r="B54" s="45"/>
      <c r="C54" s="45"/>
      <c r="D54" s="20" t="s">
        <v>241</v>
      </c>
      <c r="E54" s="20"/>
      <c r="F54" s="20"/>
      <c r="G54" s="20"/>
      <c r="H54" s="20"/>
      <c r="I54" s="20"/>
      <c r="J54" s="20"/>
      <c r="K54" s="20"/>
      <c r="L54" s="20"/>
      <c r="M54" s="20"/>
      <c r="N54" s="20"/>
      <c r="O54" s="20"/>
      <c r="P54" s="20"/>
      <c r="Q54" s="23"/>
      <c r="R54" s="19"/>
      <c r="S54" s="20"/>
      <c r="T54" s="23"/>
      <c r="U54" s="20"/>
      <c r="V54" s="20"/>
      <c r="W54" s="23"/>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0">
        <v>70</v>
      </c>
      <c r="C56" s="41">
        <v>47</v>
      </c>
      <c r="D56" s="42" t="s">
        <v>270</v>
      </c>
      <c r="E56" s="43"/>
      <c r="F56" s="43"/>
      <c r="G56" s="43"/>
      <c r="H56" s="43"/>
      <c r="I56" s="43"/>
      <c r="J56" s="43"/>
      <c r="K56" s="43"/>
      <c r="L56" s="43"/>
      <c r="M56" s="43"/>
      <c r="N56" s="43">
        <v>0.25</v>
      </c>
      <c r="O56" s="43"/>
      <c r="P56" s="43">
        <v>6</v>
      </c>
      <c r="Q56" s="44"/>
      <c r="R56" s="42"/>
      <c r="S56" s="43"/>
      <c r="T56" s="44"/>
      <c r="U56" s="43"/>
      <c r="V56" s="43"/>
      <c r="W56" s="44"/>
    </row>
    <row r="57" spans="2:23" ht="14.25">
      <c r="B57" s="40"/>
      <c r="C57" s="41"/>
      <c r="D57" s="42"/>
      <c r="E57" s="43"/>
      <c r="F57" s="43"/>
      <c r="G57" s="43"/>
      <c r="H57" s="43"/>
      <c r="I57" s="43"/>
      <c r="J57" s="43"/>
      <c r="K57" s="43"/>
      <c r="L57" s="43"/>
      <c r="M57" s="43"/>
      <c r="N57" s="43"/>
      <c r="O57" s="43"/>
      <c r="P57" s="43"/>
      <c r="Q57" s="44"/>
      <c r="R57" s="42"/>
      <c r="S57" s="43"/>
      <c r="T57" s="44"/>
      <c r="U57" s="43"/>
      <c r="V57" s="43"/>
      <c r="W57" s="44"/>
    </row>
    <row r="58" spans="2:23" ht="14.25">
      <c r="B58" s="45"/>
      <c r="C58" s="46"/>
      <c r="D58" s="19" t="s">
        <v>271</v>
      </c>
      <c r="E58" s="20"/>
      <c r="F58" s="20"/>
      <c r="G58" s="20"/>
      <c r="H58" s="20"/>
      <c r="I58" s="20"/>
      <c r="J58" s="20"/>
      <c r="K58" s="20"/>
      <c r="L58" s="20"/>
      <c r="M58" s="20"/>
      <c r="N58" s="20"/>
      <c r="O58" s="20"/>
      <c r="P58" s="20"/>
      <c r="Q58" s="23"/>
      <c r="R58" s="19"/>
      <c r="S58" s="20"/>
      <c r="T58" s="23"/>
      <c r="U58" s="20"/>
      <c r="V58" s="20"/>
      <c r="W58" s="23"/>
    </row>
    <row r="59" spans="2:23" ht="14.25">
      <c r="B59" s="45">
        <v>80</v>
      </c>
      <c r="C59" s="46">
        <v>10</v>
      </c>
      <c r="D59" s="19" t="s">
        <v>272</v>
      </c>
      <c r="E59" s="20"/>
      <c r="F59" s="20"/>
      <c r="G59" s="20"/>
      <c r="H59" s="20"/>
      <c r="I59" s="20"/>
      <c r="J59" s="20"/>
      <c r="K59" s="20"/>
      <c r="L59" s="20"/>
      <c r="M59" s="20"/>
      <c r="N59" s="20">
        <v>0.5</v>
      </c>
      <c r="O59" s="20"/>
      <c r="P59" s="20">
        <v>16</v>
      </c>
      <c r="Q59" s="23"/>
      <c r="R59" s="19"/>
      <c r="S59" s="20"/>
      <c r="T59" s="23"/>
      <c r="U59" s="20"/>
      <c r="V59" s="20"/>
      <c r="W59" s="23"/>
    </row>
    <row r="60" spans="2:23" ht="14.25">
      <c r="B60" s="45"/>
      <c r="C60" s="45"/>
      <c r="D60" s="20" t="s">
        <v>241</v>
      </c>
      <c r="E60" s="20"/>
      <c r="F60" s="20"/>
      <c r="G60" s="20"/>
      <c r="H60" s="20"/>
      <c r="I60" s="20"/>
      <c r="J60" s="20"/>
      <c r="K60" s="20"/>
      <c r="L60" s="20"/>
      <c r="M60" s="20"/>
      <c r="N60" s="20"/>
      <c r="O60" s="20"/>
      <c r="P60" s="20"/>
      <c r="Q60" s="23"/>
      <c r="R60" s="19"/>
      <c r="S60" s="20"/>
      <c r="T60" s="23"/>
      <c r="U60" s="20"/>
      <c r="V60" s="20"/>
      <c r="W60" s="23"/>
    </row>
    <row r="61" spans="2:23" ht="14.25">
      <c r="B61" s="40"/>
      <c r="C61" s="41"/>
      <c r="D61" s="42"/>
      <c r="E61" s="43"/>
      <c r="F61" s="43"/>
      <c r="G61" s="43"/>
      <c r="H61" s="43"/>
      <c r="I61" s="43"/>
      <c r="J61" s="43"/>
      <c r="K61" s="43"/>
      <c r="L61" s="43"/>
      <c r="M61" s="43"/>
      <c r="N61" s="43"/>
      <c r="O61" s="43"/>
      <c r="P61" s="43"/>
      <c r="Q61" s="44"/>
      <c r="R61" s="42"/>
      <c r="S61" s="43"/>
      <c r="T61" s="44"/>
      <c r="U61" s="43"/>
      <c r="V61" s="43"/>
      <c r="W61" s="44"/>
    </row>
    <row r="62" spans="2:23" ht="14.25">
      <c r="B62" s="40">
        <v>90</v>
      </c>
      <c r="C62" s="41">
        <v>47</v>
      </c>
      <c r="D62" s="42" t="s">
        <v>270</v>
      </c>
      <c r="E62" s="43"/>
      <c r="F62" s="43"/>
      <c r="G62" s="43"/>
      <c r="H62" s="43"/>
      <c r="I62" s="43"/>
      <c r="J62" s="43"/>
      <c r="K62" s="43"/>
      <c r="L62" s="43"/>
      <c r="M62" s="43"/>
      <c r="N62" s="43">
        <v>0.25</v>
      </c>
      <c r="O62" s="43"/>
      <c r="P62" s="43">
        <v>1.5</v>
      </c>
      <c r="Q62" s="44"/>
      <c r="R62" s="42"/>
      <c r="S62" s="43"/>
      <c r="T62" s="44"/>
      <c r="U62" s="43"/>
      <c r="V62" s="43"/>
      <c r="W62" s="44"/>
    </row>
    <row r="63" spans="2:23" ht="14.25">
      <c r="B63" s="40"/>
      <c r="C63" s="41"/>
      <c r="D63" s="42"/>
      <c r="E63" s="43"/>
      <c r="F63" s="43"/>
      <c r="G63" s="43"/>
      <c r="H63" s="43"/>
      <c r="I63" s="43"/>
      <c r="J63" s="43"/>
      <c r="K63" s="43"/>
      <c r="L63" s="43"/>
      <c r="M63" s="43"/>
      <c r="N63" s="43"/>
      <c r="O63" s="43"/>
      <c r="P63" s="43"/>
      <c r="Q63" s="44"/>
      <c r="R63" s="42"/>
      <c r="S63" s="43"/>
      <c r="T63" s="44"/>
      <c r="U63" s="43"/>
      <c r="V63" s="43"/>
      <c r="W63" s="44"/>
    </row>
    <row r="64" spans="2:23" ht="14.25">
      <c r="B64" s="45"/>
      <c r="C64" s="46"/>
      <c r="D64" s="19"/>
      <c r="E64" s="20"/>
      <c r="F64" s="20"/>
      <c r="G64" s="20"/>
      <c r="H64" s="20"/>
      <c r="I64" s="20"/>
      <c r="J64" s="20"/>
      <c r="K64" s="20"/>
      <c r="L64" s="20"/>
      <c r="M64" s="20"/>
      <c r="N64" s="20"/>
      <c r="O64" s="20"/>
      <c r="P64" s="20"/>
      <c r="Q64" s="23"/>
      <c r="R64" s="19"/>
      <c r="S64" s="20"/>
      <c r="T64" s="23"/>
      <c r="U64" s="20"/>
      <c r="V64" s="20"/>
      <c r="W64" s="23"/>
    </row>
    <row r="65" spans="2:23" ht="14.25">
      <c r="B65" s="45">
        <v>100</v>
      </c>
      <c r="C65" s="46">
        <v>20</v>
      </c>
      <c r="D65" s="19" t="s">
        <v>273</v>
      </c>
      <c r="E65" s="20"/>
      <c r="F65" s="20"/>
      <c r="G65" s="20"/>
      <c r="H65" s="20"/>
      <c r="I65" s="20"/>
      <c r="J65" s="20"/>
      <c r="K65" s="20"/>
      <c r="L65" s="20"/>
      <c r="M65" s="20"/>
      <c r="N65" s="20">
        <v>0.5</v>
      </c>
      <c r="O65" s="20"/>
      <c r="P65" s="20">
        <v>4</v>
      </c>
      <c r="Q65" s="23"/>
      <c r="R65" s="19"/>
      <c r="S65" s="20"/>
      <c r="T65" s="23"/>
      <c r="U65" s="20"/>
      <c r="V65" s="20"/>
      <c r="W65" s="23"/>
    </row>
    <row r="66" spans="2:23" ht="14.25">
      <c r="B66" s="45"/>
      <c r="C66" s="46"/>
      <c r="D66" s="19"/>
      <c r="E66" s="20"/>
      <c r="F66" s="20"/>
      <c r="G66" s="20"/>
      <c r="H66" s="20"/>
      <c r="I66" s="20"/>
      <c r="J66" s="20"/>
      <c r="K66" s="20"/>
      <c r="L66" s="20"/>
      <c r="M66" s="20"/>
      <c r="N66" s="20"/>
      <c r="O66" s="20"/>
      <c r="P66" s="20"/>
      <c r="Q66" s="23"/>
      <c r="R66" s="19"/>
      <c r="S66" s="20"/>
      <c r="T66" s="23"/>
      <c r="U66" s="20"/>
      <c r="V66" s="20"/>
      <c r="W66" s="23"/>
    </row>
    <row r="67" spans="2:23" ht="14.25">
      <c r="B67" s="40"/>
      <c r="C67" s="41"/>
      <c r="D67" s="42"/>
      <c r="E67" s="43"/>
      <c r="F67" s="43"/>
      <c r="G67" s="43"/>
      <c r="H67" s="43"/>
      <c r="I67" s="43"/>
      <c r="J67" s="43"/>
      <c r="K67" s="43"/>
      <c r="L67" s="43"/>
      <c r="M67" s="43"/>
      <c r="N67" s="43"/>
      <c r="O67" s="43"/>
      <c r="P67" s="43"/>
      <c r="Q67" s="44"/>
      <c r="R67" s="42"/>
      <c r="S67" s="43"/>
      <c r="T67" s="44"/>
      <c r="U67" s="43"/>
      <c r="V67" s="43"/>
      <c r="W67" s="44"/>
    </row>
    <row r="68" spans="2:23" ht="14.25">
      <c r="B68" s="40">
        <v>110</v>
      </c>
      <c r="C68" s="41">
        <v>60</v>
      </c>
      <c r="D68" s="42" t="s">
        <v>67</v>
      </c>
      <c r="E68" s="43"/>
      <c r="F68" s="43"/>
      <c r="G68" s="43"/>
      <c r="H68" s="43"/>
      <c r="I68" s="43"/>
      <c r="J68" s="43"/>
      <c r="K68" s="43"/>
      <c r="L68" s="43"/>
      <c r="M68" s="43"/>
      <c r="N68" s="43">
        <v>0</v>
      </c>
      <c r="O68" s="43"/>
      <c r="P68" s="43">
        <v>0</v>
      </c>
      <c r="Q68" s="44"/>
      <c r="R68" s="42"/>
      <c r="S68" s="43"/>
      <c r="T68" s="44"/>
      <c r="U68" s="43"/>
      <c r="V68" s="43"/>
      <c r="W68" s="44"/>
    </row>
    <row r="69" spans="2:23" ht="14.25">
      <c r="B69" s="40"/>
      <c r="C69" s="41"/>
      <c r="D69" s="42"/>
      <c r="E69" s="43"/>
      <c r="F69" s="43"/>
      <c r="G69" s="43"/>
      <c r="H69" s="43"/>
      <c r="I69" s="43"/>
      <c r="J69" s="43"/>
      <c r="K69" s="43"/>
      <c r="L69" s="43"/>
      <c r="M69" s="43"/>
      <c r="N69" s="43"/>
      <c r="O69" s="43"/>
      <c r="P69" s="43"/>
      <c r="Q69" s="44"/>
      <c r="R69" s="42"/>
      <c r="S69" s="43"/>
      <c r="T69" s="44"/>
      <c r="U69" s="43"/>
      <c r="V69" s="43"/>
      <c r="W69" s="44"/>
    </row>
    <row r="70" spans="2:23" ht="15" thickBot="1">
      <c r="B70" s="47"/>
      <c r="C70" s="48"/>
      <c r="D70" s="28"/>
      <c r="E70" s="29"/>
      <c r="F70" s="29"/>
      <c r="G70" s="29"/>
      <c r="H70" s="29"/>
      <c r="I70" s="29"/>
      <c r="J70" s="29"/>
      <c r="K70" s="29"/>
      <c r="L70" s="29"/>
      <c r="M70" s="49" t="s">
        <v>24</v>
      </c>
      <c r="N70" s="29">
        <f>SUM(N37:N69)</f>
        <v>4</v>
      </c>
      <c r="O70" s="29"/>
      <c r="P70" s="29">
        <f>SUM(P37:P69)</f>
        <v>49.5</v>
      </c>
      <c r="Q70" s="30"/>
      <c r="R70" s="28"/>
      <c r="S70" s="29"/>
      <c r="T70" s="30"/>
      <c r="U70" s="29"/>
      <c r="V70" s="29"/>
      <c r="W70"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W58"/>
  <sheetViews>
    <sheetView zoomScale="120" zoomScaleNormal="12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388</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114249-00S</v>
      </c>
      <c r="E9" s="20"/>
      <c r="F9" s="20"/>
      <c r="G9" s="20"/>
      <c r="H9" s="20"/>
      <c r="I9" s="20"/>
      <c r="J9" s="20"/>
      <c r="K9" s="20"/>
      <c r="L9" s="20"/>
      <c r="M9" s="20"/>
      <c r="N9" s="24" t="s">
        <v>2</v>
      </c>
      <c r="O9" s="20"/>
      <c r="P9" s="129" t="str">
        <f>INDEX(BOM!O:O,MATCH($P$3,BOM!$P:$P,0),1)</f>
        <v>12/24/10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TUBE, LEFT, MCA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114249-00S</v>
      </c>
      <c r="H19" s="13" t="str">
        <f>D11</f>
        <v>TUBE, LEFT, MCA TUBE</v>
      </c>
      <c r="Q19" s="13" t="s">
        <v>536</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114250-00WS</v>
      </c>
      <c r="H26" s="50" t="str">
        <f>INDEX(BOM!J:J,MATCH($P$3,BOM!$P:$P,0)+1,1)</f>
        <v>WELDMENT, TUBE, LEFT, MCA</v>
      </c>
      <c r="Q26" s="50">
        <f>INDEX(BOM!M:M,MATCH($P$3,BOM!$P:$P,0)+1,1)</f>
        <v>4</v>
      </c>
    </row>
    <row r="27" ht="15" thickBot="1">
      <c r="B27" s="31"/>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248</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c r="E31" s="43"/>
      <c r="F31" s="43"/>
      <c r="G31" s="43"/>
      <c r="H31" s="43"/>
      <c r="I31" s="43"/>
      <c r="J31" s="43"/>
      <c r="K31" s="43"/>
      <c r="L31" s="43"/>
      <c r="M31" s="43"/>
      <c r="N31" s="43"/>
      <c r="O31" s="43"/>
      <c r="P31" s="43"/>
      <c r="Q31" s="44"/>
      <c r="R31" s="42"/>
      <c r="S31" s="43"/>
      <c r="T31" s="44"/>
      <c r="U31" s="43"/>
      <c r="V31" s="43"/>
      <c r="W31" s="44"/>
    </row>
    <row r="32" spans="2:23" ht="14.25">
      <c r="B32" s="45"/>
      <c r="C32" s="46"/>
      <c r="D32" s="19" t="s">
        <v>249</v>
      </c>
      <c r="E32" s="20"/>
      <c r="F32" s="20"/>
      <c r="G32" s="20"/>
      <c r="H32" s="20"/>
      <c r="I32" s="20"/>
      <c r="J32" s="20"/>
      <c r="K32" s="20"/>
      <c r="L32" s="20"/>
      <c r="M32" s="20"/>
      <c r="N32" s="20"/>
      <c r="O32" s="20"/>
      <c r="P32" s="20"/>
      <c r="Q32" s="23"/>
      <c r="R32" s="19"/>
      <c r="S32" s="20"/>
      <c r="T32" s="23"/>
      <c r="U32" s="20"/>
      <c r="V32" s="20"/>
      <c r="W32" s="23"/>
    </row>
    <row r="33" spans="2:23" ht="14.25">
      <c r="B33" s="45">
        <v>20</v>
      </c>
      <c r="C33" s="46">
        <v>1</v>
      </c>
      <c r="D33" s="19" t="s">
        <v>250</v>
      </c>
      <c r="E33" s="20"/>
      <c r="F33" s="20"/>
      <c r="G33" s="20"/>
      <c r="H33" s="20"/>
      <c r="I33" s="20"/>
      <c r="J33" s="20"/>
      <c r="K33" s="20"/>
      <c r="L33" s="20"/>
      <c r="M33" s="20"/>
      <c r="N33" s="20">
        <v>0.75</v>
      </c>
      <c r="O33" s="20"/>
      <c r="P33" s="20">
        <v>4</v>
      </c>
      <c r="Q33" s="23"/>
      <c r="R33" s="19"/>
      <c r="S33" s="20"/>
      <c r="T33" s="23"/>
      <c r="U33" s="20"/>
      <c r="V33" s="20"/>
      <c r="W33" s="23"/>
    </row>
    <row r="34" spans="2:23" ht="14.25">
      <c r="B34" s="45"/>
      <c r="C34" s="46"/>
      <c r="D34" s="19" t="s">
        <v>251</v>
      </c>
      <c r="E34" s="20"/>
      <c r="F34" s="20"/>
      <c r="G34" s="20"/>
      <c r="H34" s="20"/>
      <c r="I34" s="20"/>
      <c r="J34" s="20"/>
      <c r="K34" s="20"/>
      <c r="L34" s="20"/>
      <c r="M34" s="20"/>
      <c r="N34" s="20"/>
      <c r="O34" s="20"/>
      <c r="P34" s="20"/>
      <c r="Q34" s="23"/>
      <c r="R34" s="19"/>
      <c r="S34" s="20"/>
      <c r="T34" s="23"/>
      <c r="U34" s="20"/>
      <c r="V34" s="20"/>
      <c r="W34" s="23"/>
    </row>
    <row r="35" spans="2:23" ht="14.25">
      <c r="B35" s="40"/>
      <c r="C35" s="41"/>
      <c r="D35" s="42" t="s">
        <v>252</v>
      </c>
      <c r="E35" s="43"/>
      <c r="F35" s="43"/>
      <c r="G35" s="43"/>
      <c r="H35" s="43"/>
      <c r="I35" s="43"/>
      <c r="J35" s="43"/>
      <c r="K35" s="43"/>
      <c r="L35" s="43"/>
      <c r="M35" s="43"/>
      <c r="N35" s="43"/>
      <c r="O35" s="43"/>
      <c r="P35" s="43"/>
      <c r="Q35" s="44"/>
      <c r="R35" s="42"/>
      <c r="S35" s="43"/>
      <c r="T35" s="44"/>
      <c r="U35" s="43"/>
      <c r="V35" s="43"/>
      <c r="W35" s="44"/>
    </row>
    <row r="36" spans="2:23" ht="14.25">
      <c r="B36" s="40">
        <v>30</v>
      </c>
      <c r="C36" s="41">
        <v>1</v>
      </c>
      <c r="D36" s="42" t="s">
        <v>253</v>
      </c>
      <c r="E36" s="43"/>
      <c r="F36" s="43"/>
      <c r="G36" s="43"/>
      <c r="H36" s="43"/>
      <c r="I36" s="43"/>
      <c r="J36" s="43"/>
      <c r="K36" s="43"/>
      <c r="L36" s="43"/>
      <c r="M36" s="43"/>
      <c r="N36" s="43">
        <v>0.5</v>
      </c>
      <c r="O36" s="43"/>
      <c r="P36" s="43">
        <v>4</v>
      </c>
      <c r="Q36" s="44"/>
      <c r="R36" s="42"/>
      <c r="S36" s="43"/>
      <c r="T36" s="44"/>
      <c r="U36" s="43"/>
      <c r="V36" s="43"/>
      <c r="W36" s="44"/>
    </row>
    <row r="37" spans="2:23" ht="14.25">
      <c r="B37" s="40"/>
      <c r="C37" s="41"/>
      <c r="D37" s="42"/>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254</v>
      </c>
      <c r="E39" s="20"/>
      <c r="F39" s="20"/>
      <c r="G39" s="20"/>
      <c r="H39" s="20"/>
      <c r="I39" s="20"/>
      <c r="J39" s="20"/>
      <c r="K39" s="20"/>
      <c r="L39" s="20"/>
      <c r="M39" s="20"/>
      <c r="N39" s="20">
        <v>1</v>
      </c>
      <c r="O39" s="20"/>
      <c r="P39" s="20">
        <v>4</v>
      </c>
      <c r="Q39" s="23"/>
      <c r="R39" s="20"/>
      <c r="S39" s="20"/>
      <c r="T39" s="23"/>
      <c r="U39" s="20"/>
      <c r="V39" s="20"/>
      <c r="W39" s="23"/>
    </row>
    <row r="40" spans="2:23" ht="14.25">
      <c r="B40" s="45"/>
      <c r="C40" s="46"/>
      <c r="D40" s="19" t="s">
        <v>255</v>
      </c>
      <c r="E40" s="20"/>
      <c r="F40" s="20"/>
      <c r="G40" s="20"/>
      <c r="H40" s="20"/>
      <c r="I40" s="20"/>
      <c r="J40" s="20"/>
      <c r="K40" s="20"/>
      <c r="L40" s="20"/>
      <c r="M40" s="20"/>
      <c r="N40" s="20"/>
      <c r="O40" s="20"/>
      <c r="P40" s="20"/>
      <c r="Q40" s="23"/>
      <c r="R40" s="20"/>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1">
        <v>47</v>
      </c>
      <c r="D42" s="42" t="s">
        <v>256</v>
      </c>
      <c r="E42" s="43"/>
      <c r="F42" s="43"/>
      <c r="G42" s="43"/>
      <c r="H42" s="43"/>
      <c r="I42" s="43"/>
      <c r="J42" s="43"/>
      <c r="K42" s="43"/>
      <c r="L42" s="43"/>
      <c r="M42" s="43"/>
      <c r="N42" s="43">
        <v>0.5</v>
      </c>
      <c r="O42" s="43"/>
      <c r="P42" s="43">
        <v>1</v>
      </c>
      <c r="Q42" s="44"/>
      <c r="R42" s="42"/>
      <c r="S42" s="43"/>
      <c r="T42" s="44"/>
      <c r="U42" s="43"/>
      <c r="V42" s="43"/>
      <c r="W42" s="44"/>
    </row>
    <row r="43" spans="2:23" ht="14.25">
      <c r="B43" s="40"/>
      <c r="C43" s="41"/>
      <c r="D43" s="42"/>
      <c r="E43" s="43"/>
      <c r="F43" s="43"/>
      <c r="G43" s="43"/>
      <c r="H43" s="43"/>
      <c r="I43" s="43"/>
      <c r="J43" s="43"/>
      <c r="K43" s="43"/>
      <c r="L43" s="43"/>
      <c r="M43" s="43"/>
      <c r="N43" s="43"/>
      <c r="O43" s="43"/>
      <c r="P43" s="43"/>
      <c r="Q43" s="44"/>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6">
        <v>60</v>
      </c>
      <c r="D45" s="19" t="s">
        <v>257</v>
      </c>
      <c r="E45" s="20"/>
      <c r="F45" s="20"/>
      <c r="G45" s="20"/>
      <c r="H45" s="20"/>
      <c r="I45" s="20"/>
      <c r="J45" s="20"/>
      <c r="K45" s="20"/>
      <c r="L45" s="20"/>
      <c r="M45" s="20"/>
      <c r="N45" s="20">
        <v>0.75</v>
      </c>
      <c r="O45" s="20"/>
      <c r="P45" s="20">
        <v>1</v>
      </c>
      <c r="Q45" s="23"/>
      <c r="R45" s="19"/>
      <c r="S45" s="20"/>
      <c r="T45" s="23"/>
      <c r="U45" s="20"/>
      <c r="V45" s="20"/>
      <c r="W45" s="23"/>
    </row>
    <row r="46" spans="2:23" ht="14.25">
      <c r="B46" s="45"/>
      <c r="C46" s="46"/>
      <c r="D46" s="19"/>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3.5</v>
      </c>
      <c r="O58" s="29"/>
      <c r="P58" s="29">
        <f>SUM(P29:P56)</f>
        <v>14</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W57"/>
  <sheetViews>
    <sheetView workbookViewId="0" topLeftCell="A49">
      <selection activeCell="A55" sqref="A55:IV60"/>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17" width="3.7109375" style="13" customWidth="1"/>
    <col min="18"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389</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114250-00WS</v>
      </c>
      <c r="E9" s="20"/>
      <c r="F9" s="20"/>
      <c r="G9" s="20"/>
      <c r="H9" s="20"/>
      <c r="I9" s="20"/>
      <c r="J9" s="20"/>
      <c r="K9" s="20"/>
      <c r="L9" s="20"/>
      <c r="M9" s="20"/>
      <c r="N9" s="24" t="s">
        <v>2</v>
      </c>
      <c r="O9" s="20"/>
      <c r="P9" s="129" t="str">
        <f>INDEX(BOM!O:O,MATCH($P$3,BOM!$P:$P,0),1)</f>
        <v>12/17/10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WELDMENT, TUBE, LEFT, MCA</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40380</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114250-00WS</v>
      </c>
      <c r="H19" s="13" t="str">
        <f>D11</f>
        <v>WELDMENT, TUBE, LEFT, MCA</v>
      </c>
      <c r="Q19" s="13" t="s">
        <v>537</v>
      </c>
    </row>
    <row r="20" spans="2:17" ht="14.25">
      <c r="B20" s="31"/>
      <c r="D20" s="13" t="s">
        <v>205</v>
      </c>
      <c r="H20" s="13" t="s">
        <v>207</v>
      </c>
      <c r="Q20" s="13" t="s">
        <v>145</v>
      </c>
    </row>
    <row r="21" spans="2:17" ht="14.25">
      <c r="B21" s="31"/>
      <c r="D21" s="13" t="s">
        <v>206</v>
      </c>
      <c r="H21" s="13" t="s">
        <v>208</v>
      </c>
      <c r="Q21" s="13" t="s">
        <v>536</v>
      </c>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INDEX(BOM!I:I,MATCH($P$3,BOM!$P:$P,0)+1,1)</f>
        <v>114203-01S</v>
      </c>
      <c r="H26" s="50" t="str">
        <f>INDEX(BOM!J:J,MATCH($P$3,BOM!$P:$P,0)+1,1)</f>
        <v>ROLL-UP, MCA TUBES</v>
      </c>
      <c r="Q26" s="50">
        <f>INDEX(BOM!M:M,MATCH($P$3,BOM!$P:$P,0)+1,1)</f>
        <v>4</v>
      </c>
    </row>
    <row r="27" spans="2:17" ht="14.25">
      <c r="B27" s="31"/>
      <c r="C27" s="50" t="str">
        <f>INDEX(BOM!I:I,MATCH($P$3,BOM!$P:$P,0)+4,1)</f>
        <v>114204-00S</v>
      </c>
      <c r="H27" s="50" t="str">
        <f>INDEX(BOM!J:J,MATCH($P$3,BOM!$P:$P,0)+4,1)</f>
        <v>STIFFENER, 1/3, PLAIN, MC TUBE</v>
      </c>
      <c r="Q27" s="50">
        <f>INDEX(BOM!M:M,MATCH($P$3,BOM!$P:$P,0)+4,1)</f>
        <v>24</v>
      </c>
    </row>
    <row r="28" spans="2:17" ht="14.25">
      <c r="B28" s="31"/>
      <c r="C28" s="50" t="str">
        <f>INDEX(BOM!I:I,MATCH($P$3,BOM!$P:$P,0)+6,1)</f>
        <v>114205-00S</v>
      </c>
      <c r="H28" s="50" t="str">
        <f>INDEX(BOM!J:J,MATCH($P$3,BOM!$P:$P,0)+6,1)</f>
        <v>STIFFENER, LIFTING, MC TUBES</v>
      </c>
      <c r="Q28" s="50">
        <f>INDEX(BOM!M:M,MATCH($P$3,BOM!$P:$P,0)+6,1)</f>
        <v>4</v>
      </c>
    </row>
    <row r="29" spans="2:17" ht="14.25">
      <c r="B29" s="31"/>
      <c r="C29" s="50" t="str">
        <f>INDEX(BOM!I:I,MATCH($P$3,BOM!$P:$P,0)+8,1)</f>
        <v>114206-00S</v>
      </c>
      <c r="H29" s="50" t="str">
        <f>INDEX(BOM!J:J,MATCH($P$3,BOM!$P:$P,0)+8,1)</f>
        <v>STIFFENER, THICK, MC TUBES</v>
      </c>
      <c r="Q29" s="50">
        <f>INDEX(BOM!M:M,MATCH($P$3,BOM!$P:$P,0)+8,1)</f>
        <v>8</v>
      </c>
    </row>
    <row r="30" spans="2:17" ht="14.25">
      <c r="B30" s="31"/>
      <c r="C30" s="50" t="str">
        <f>INDEX(BOM!I:I,MATCH($P$3,BOM!$P:$P,0)+10,1)</f>
        <v>114207-00WS</v>
      </c>
      <c r="H30" s="50" t="str">
        <f>INDEX(BOM!J:J,MATCH($P$3,BOM!$P:$P,0)+10,1)</f>
        <v>WELDMENT, BRACKET, MC TUBE </v>
      </c>
      <c r="Q30" s="50">
        <f>INDEX(BOM!M:M,MATCH($P$3,BOM!$P:$P,0)+10,1)</f>
        <v>8</v>
      </c>
    </row>
    <row r="31" spans="2:17" ht="14.25">
      <c r="B31" s="31"/>
      <c r="C31" s="50" t="str">
        <f>INDEX(BOM!I:I,MATCH($P$3,BOM!$P:$P,0)+15,1)</f>
        <v>114427-00S</v>
      </c>
      <c r="H31" s="50" t="str">
        <f>INDEX(BOM!J:J,MATCH($P$3,BOM!$P:$P,0)+15,1)</f>
        <v>PLATE, BRACKET, BRACE</v>
      </c>
      <c r="Q31" s="50">
        <f>INDEX(BOM!M:M,MATCH($P$3,BOM!$P:$P,0)+15,1)</f>
        <v>8</v>
      </c>
    </row>
    <row r="32" ht="15" thickBot="1">
      <c r="B32" s="31"/>
    </row>
    <row r="33" spans="2:23" ht="15" thickBot="1">
      <c r="B33" s="34" t="s">
        <v>17</v>
      </c>
      <c r="C33" s="35" t="s">
        <v>18</v>
      </c>
      <c r="D33" s="36" t="s">
        <v>19</v>
      </c>
      <c r="E33" s="37"/>
      <c r="F33" s="37"/>
      <c r="G33" s="37"/>
      <c r="H33" s="37"/>
      <c r="I33" s="37"/>
      <c r="J33" s="37"/>
      <c r="K33" s="37"/>
      <c r="L33" s="37"/>
      <c r="M33" s="37"/>
      <c r="N33" s="37" t="s">
        <v>20</v>
      </c>
      <c r="O33" s="37"/>
      <c r="P33" s="37" t="s">
        <v>21</v>
      </c>
      <c r="Q33" s="38"/>
      <c r="R33" s="36"/>
      <c r="S33" s="39" t="s">
        <v>22</v>
      </c>
      <c r="T33" s="38"/>
      <c r="U33" s="37"/>
      <c r="V33" s="39" t="s">
        <v>23</v>
      </c>
      <c r="W33" s="38"/>
    </row>
    <row r="34" spans="2:23" ht="14.25">
      <c r="B34" s="40"/>
      <c r="C34" s="41"/>
      <c r="D34" s="42"/>
      <c r="E34" s="43"/>
      <c r="F34" s="43"/>
      <c r="G34" s="43"/>
      <c r="H34" s="43"/>
      <c r="I34" s="43"/>
      <c r="J34" s="43"/>
      <c r="K34" s="43"/>
      <c r="L34" s="43"/>
      <c r="M34" s="43"/>
      <c r="N34" s="43"/>
      <c r="O34" s="43"/>
      <c r="P34" s="43"/>
      <c r="Q34" s="44"/>
      <c r="R34" s="42"/>
      <c r="S34" s="43"/>
      <c r="T34" s="44"/>
      <c r="U34" s="43"/>
      <c r="V34" s="43"/>
      <c r="W34" s="44"/>
    </row>
    <row r="35" spans="2:23" ht="14.25">
      <c r="B35" s="40">
        <v>10</v>
      </c>
      <c r="C35" s="41">
        <v>60</v>
      </c>
      <c r="D35" s="42" t="s">
        <v>209</v>
      </c>
      <c r="E35" s="43"/>
      <c r="F35" s="43"/>
      <c r="G35" s="43"/>
      <c r="H35" s="43"/>
      <c r="I35" s="43"/>
      <c r="J35" s="43"/>
      <c r="K35" s="43"/>
      <c r="L35" s="43"/>
      <c r="M35" s="43"/>
      <c r="N35" s="43">
        <v>0</v>
      </c>
      <c r="O35" s="43"/>
      <c r="P35" s="43">
        <v>0</v>
      </c>
      <c r="Q35" s="44"/>
      <c r="R35" s="42"/>
      <c r="S35" s="43"/>
      <c r="T35" s="44"/>
      <c r="U35" s="43"/>
      <c r="V35" s="43"/>
      <c r="W35" s="44"/>
    </row>
    <row r="36" spans="2:23" ht="14.25">
      <c r="B36" s="40"/>
      <c r="C36" s="41"/>
      <c r="D36" s="42" t="s">
        <v>245</v>
      </c>
      <c r="E36" s="43"/>
      <c r="F36" s="43"/>
      <c r="G36" s="43"/>
      <c r="H36" s="43"/>
      <c r="I36" s="43"/>
      <c r="J36" s="43"/>
      <c r="K36" s="43"/>
      <c r="L36" s="43"/>
      <c r="M36" s="43"/>
      <c r="N36" s="43"/>
      <c r="O36" s="43"/>
      <c r="P36" s="43"/>
      <c r="Q36" s="44"/>
      <c r="R36" s="42"/>
      <c r="S36" s="43"/>
      <c r="T36" s="44"/>
      <c r="U36" s="43"/>
      <c r="V36" s="43"/>
      <c r="W36" s="44"/>
    </row>
    <row r="37" spans="2:23" ht="14.25">
      <c r="B37" s="45"/>
      <c r="C37" s="46"/>
      <c r="D37" s="19"/>
      <c r="E37" s="20"/>
      <c r="F37" s="20"/>
      <c r="G37" s="20"/>
      <c r="H37" s="20"/>
      <c r="I37" s="20"/>
      <c r="J37" s="20"/>
      <c r="K37" s="20"/>
      <c r="L37" s="20"/>
      <c r="M37" s="20"/>
      <c r="N37" s="20"/>
      <c r="O37" s="20"/>
      <c r="P37" s="20"/>
      <c r="Q37" s="23"/>
      <c r="R37" s="19"/>
      <c r="S37" s="20"/>
      <c r="T37" s="23"/>
      <c r="U37" s="20"/>
      <c r="V37" s="20"/>
      <c r="W37" s="23"/>
    </row>
    <row r="38" spans="2:23" ht="14.25">
      <c r="B38" s="45">
        <v>20</v>
      </c>
      <c r="C38" s="46">
        <v>20</v>
      </c>
      <c r="D38" s="19" t="s">
        <v>237</v>
      </c>
      <c r="E38" s="20"/>
      <c r="F38" s="20"/>
      <c r="G38" s="20"/>
      <c r="H38" s="20"/>
      <c r="I38" s="20"/>
      <c r="J38" s="20"/>
      <c r="K38" s="20"/>
      <c r="L38" s="20"/>
      <c r="M38" s="20"/>
      <c r="N38" s="20">
        <v>0.25</v>
      </c>
      <c r="O38" s="20"/>
      <c r="P38" s="20">
        <v>1</v>
      </c>
      <c r="R38" s="19"/>
      <c r="S38" s="20"/>
      <c r="T38" s="23"/>
      <c r="U38" s="20"/>
      <c r="V38" s="20"/>
      <c r="W38" s="23"/>
    </row>
    <row r="39" spans="2:23" ht="14.25">
      <c r="B39" s="45"/>
      <c r="C39" s="46"/>
      <c r="D39" s="19"/>
      <c r="E39" s="20"/>
      <c r="F39" s="20"/>
      <c r="G39" s="20"/>
      <c r="H39" s="20"/>
      <c r="I39" s="20"/>
      <c r="J39" s="20"/>
      <c r="K39" s="20"/>
      <c r="L39" s="20"/>
      <c r="M39" s="20"/>
      <c r="N39" s="20"/>
      <c r="O39" s="20"/>
      <c r="P39" s="20"/>
      <c r="R39" s="19"/>
      <c r="S39" s="20"/>
      <c r="T39" s="23"/>
      <c r="U39" s="20"/>
      <c r="V39" s="20"/>
      <c r="W39" s="23"/>
    </row>
    <row r="40" spans="2:23" ht="14.25">
      <c r="B40" s="40"/>
      <c r="C40" s="41"/>
      <c r="D40" s="42"/>
      <c r="E40" s="43"/>
      <c r="F40" s="43"/>
      <c r="G40" s="43"/>
      <c r="H40" s="43"/>
      <c r="I40" s="43"/>
      <c r="J40" s="43"/>
      <c r="K40" s="43"/>
      <c r="L40" s="43"/>
      <c r="M40" s="43"/>
      <c r="N40" s="43"/>
      <c r="O40" s="43"/>
      <c r="P40" s="43"/>
      <c r="Q40" s="44"/>
      <c r="R40" s="42"/>
      <c r="S40" s="43"/>
      <c r="T40" s="44"/>
      <c r="U40" s="43"/>
      <c r="V40" s="43"/>
      <c r="W40" s="44"/>
    </row>
    <row r="41" spans="2:23" ht="14.25">
      <c r="B41" s="40">
        <v>30</v>
      </c>
      <c r="C41" s="40">
        <v>10</v>
      </c>
      <c r="D41" s="43" t="s">
        <v>246</v>
      </c>
      <c r="E41" s="43"/>
      <c r="F41" s="43"/>
      <c r="G41" s="43"/>
      <c r="H41" s="43"/>
      <c r="I41" s="43"/>
      <c r="J41" s="43"/>
      <c r="K41" s="43"/>
      <c r="L41" s="43"/>
      <c r="M41" s="43"/>
      <c r="N41" s="43">
        <v>0.25</v>
      </c>
      <c r="O41" s="43"/>
      <c r="P41" s="43">
        <v>6</v>
      </c>
      <c r="Q41" s="43"/>
      <c r="R41" s="42"/>
      <c r="S41" s="43"/>
      <c r="T41" s="44"/>
      <c r="U41" s="43"/>
      <c r="V41" s="43"/>
      <c r="W41" s="44"/>
    </row>
    <row r="42" spans="2:23" ht="14.25">
      <c r="B42" s="40"/>
      <c r="C42" s="40"/>
      <c r="D42" s="43" t="s">
        <v>241</v>
      </c>
      <c r="E42" s="43"/>
      <c r="F42" s="43"/>
      <c r="G42" s="43"/>
      <c r="H42" s="43"/>
      <c r="I42" s="43"/>
      <c r="J42" s="43"/>
      <c r="K42" s="43"/>
      <c r="L42" s="43"/>
      <c r="M42" s="43"/>
      <c r="N42" s="43"/>
      <c r="O42" s="43"/>
      <c r="P42" s="43"/>
      <c r="Q42" s="43"/>
      <c r="R42" s="42"/>
      <c r="S42" s="43"/>
      <c r="T42" s="44"/>
      <c r="U42" s="43"/>
      <c r="V42" s="43"/>
      <c r="W42" s="44"/>
    </row>
    <row r="43" spans="2:23" ht="14.25">
      <c r="B43" s="45"/>
      <c r="C43" s="46"/>
      <c r="D43" s="19"/>
      <c r="E43" s="20"/>
      <c r="F43" s="20"/>
      <c r="G43" s="20"/>
      <c r="H43" s="20"/>
      <c r="I43" s="20"/>
      <c r="J43" s="20"/>
      <c r="K43" s="20"/>
      <c r="L43" s="20"/>
      <c r="M43" s="20"/>
      <c r="N43" s="20"/>
      <c r="O43" s="20"/>
      <c r="P43" s="20"/>
      <c r="Q43" s="23"/>
      <c r="R43" s="19"/>
      <c r="S43" s="20"/>
      <c r="T43" s="23"/>
      <c r="U43" s="20"/>
      <c r="V43" s="20"/>
      <c r="W43" s="23"/>
    </row>
    <row r="44" spans="2:23" ht="14.25">
      <c r="B44" s="45">
        <v>40</v>
      </c>
      <c r="C44" s="45">
        <v>47</v>
      </c>
      <c r="D44" s="20" t="s">
        <v>247</v>
      </c>
      <c r="E44" s="20"/>
      <c r="F44" s="20"/>
      <c r="G44" s="20"/>
      <c r="H44" s="20"/>
      <c r="I44" s="20"/>
      <c r="J44" s="20"/>
      <c r="K44" s="20"/>
      <c r="L44" s="20"/>
      <c r="M44" s="20"/>
      <c r="N44" s="20">
        <v>0</v>
      </c>
      <c r="O44" s="20"/>
      <c r="P44" s="20">
        <v>1</v>
      </c>
      <c r="Q44" s="23"/>
      <c r="R44" s="20"/>
      <c r="S44" s="20"/>
      <c r="T44" s="23"/>
      <c r="U44" s="20"/>
      <c r="V44" s="20"/>
      <c r="W44" s="23"/>
    </row>
    <row r="45" spans="2:23" ht="14.25">
      <c r="B45" s="45"/>
      <c r="C45" s="98"/>
      <c r="D45" s="20"/>
      <c r="E45" s="20"/>
      <c r="F45" s="20"/>
      <c r="G45" s="20"/>
      <c r="H45" s="20"/>
      <c r="I45" s="20"/>
      <c r="J45" s="20"/>
      <c r="K45" s="20"/>
      <c r="L45" s="20"/>
      <c r="M45" s="20"/>
      <c r="N45" s="20"/>
      <c r="O45" s="20"/>
      <c r="P45" s="20"/>
      <c r="Q45" s="23"/>
      <c r="R45" s="20"/>
      <c r="S45" s="20"/>
      <c r="T45" s="23"/>
      <c r="U45" s="20"/>
      <c r="V45" s="20"/>
      <c r="W45" s="23"/>
    </row>
    <row r="46" spans="2:23" ht="14.25">
      <c r="B46" s="40"/>
      <c r="C46" s="41"/>
      <c r="D46" s="42"/>
      <c r="E46" s="43"/>
      <c r="F46" s="43"/>
      <c r="G46" s="43"/>
      <c r="H46" s="43"/>
      <c r="I46" s="43"/>
      <c r="J46" s="43"/>
      <c r="K46" s="43"/>
      <c r="L46" s="43"/>
      <c r="M46" s="43"/>
      <c r="N46" s="43"/>
      <c r="O46" s="43"/>
      <c r="P46" s="43"/>
      <c r="Q46" s="44"/>
      <c r="R46" s="42"/>
      <c r="S46" s="43"/>
      <c r="T46" s="44"/>
      <c r="U46" s="43"/>
      <c r="V46" s="43"/>
      <c r="W46" s="44"/>
    </row>
    <row r="47" spans="2:23" ht="14.25">
      <c r="B47" s="40">
        <v>50</v>
      </c>
      <c r="C47" s="41">
        <v>10</v>
      </c>
      <c r="D47" s="42" t="s">
        <v>240</v>
      </c>
      <c r="E47" s="43"/>
      <c r="F47" s="43"/>
      <c r="G47" s="43"/>
      <c r="H47" s="43"/>
      <c r="I47" s="43"/>
      <c r="J47" s="43"/>
      <c r="K47" s="43"/>
      <c r="L47" s="43"/>
      <c r="M47" s="43"/>
      <c r="N47" s="43">
        <v>0.25</v>
      </c>
      <c r="O47" s="43"/>
      <c r="P47" s="43">
        <v>12</v>
      </c>
      <c r="Q47" s="44"/>
      <c r="R47" s="42"/>
      <c r="S47" s="43"/>
      <c r="T47" s="44"/>
      <c r="U47" s="43"/>
      <c r="V47" s="43"/>
      <c r="W47" s="44"/>
    </row>
    <row r="48" spans="2:23" ht="14.25">
      <c r="B48" s="40"/>
      <c r="C48" s="40"/>
      <c r="D48" s="43" t="s">
        <v>241</v>
      </c>
      <c r="E48" s="43"/>
      <c r="F48" s="43"/>
      <c r="G48" s="43"/>
      <c r="H48" s="43"/>
      <c r="I48" s="43"/>
      <c r="J48" s="43"/>
      <c r="K48" s="43"/>
      <c r="L48" s="43"/>
      <c r="M48" s="43"/>
      <c r="N48" s="43"/>
      <c r="O48" s="43"/>
      <c r="P48" s="43"/>
      <c r="Q48" s="44"/>
      <c r="R48" s="42"/>
      <c r="S48" s="43"/>
      <c r="T48" s="44"/>
      <c r="U48" s="43"/>
      <c r="V48" s="43"/>
      <c r="W48" s="44"/>
    </row>
    <row r="49" spans="2:23" ht="14.25">
      <c r="B49" s="45"/>
      <c r="C49" s="46"/>
      <c r="D49" s="19"/>
      <c r="E49" s="20"/>
      <c r="F49" s="20"/>
      <c r="G49" s="20"/>
      <c r="H49" s="20"/>
      <c r="I49" s="20"/>
      <c r="J49" s="20"/>
      <c r="K49" s="20"/>
      <c r="L49" s="20"/>
      <c r="M49" s="20"/>
      <c r="N49" s="20"/>
      <c r="O49" s="20"/>
      <c r="P49" s="20"/>
      <c r="Q49" s="23"/>
      <c r="R49" s="19"/>
      <c r="S49" s="20"/>
      <c r="T49" s="23"/>
      <c r="U49" s="20"/>
      <c r="V49" s="20"/>
      <c r="W49" s="23"/>
    </row>
    <row r="50" spans="2:23" ht="14.25">
      <c r="B50" s="45">
        <v>60</v>
      </c>
      <c r="C50" s="46">
        <v>47</v>
      </c>
      <c r="D50" s="19" t="s">
        <v>242</v>
      </c>
      <c r="E50" s="20"/>
      <c r="F50" s="20"/>
      <c r="G50" s="20"/>
      <c r="H50" s="20"/>
      <c r="I50" s="20"/>
      <c r="J50" s="20"/>
      <c r="K50" s="20"/>
      <c r="L50" s="20"/>
      <c r="M50" s="20"/>
      <c r="N50" s="20">
        <v>0.1</v>
      </c>
      <c r="O50" s="20"/>
      <c r="P50" s="20">
        <v>1</v>
      </c>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0"/>
      <c r="C52" s="41"/>
      <c r="D52" s="42"/>
      <c r="E52" s="43"/>
      <c r="F52" s="43"/>
      <c r="G52" s="43"/>
      <c r="H52" s="43"/>
      <c r="I52" s="43"/>
      <c r="J52" s="43"/>
      <c r="K52" s="43"/>
      <c r="L52" s="43"/>
      <c r="M52" s="43"/>
      <c r="N52" s="43"/>
      <c r="O52" s="43"/>
      <c r="P52" s="43"/>
      <c r="Q52" s="44"/>
      <c r="R52" s="42"/>
      <c r="S52" s="43"/>
      <c r="T52" s="44"/>
      <c r="U52" s="43"/>
      <c r="V52" s="43"/>
      <c r="W52" s="44"/>
    </row>
    <row r="53" spans="2:23" ht="14.25">
      <c r="B53" s="40">
        <v>70</v>
      </c>
      <c r="C53" s="41">
        <v>60</v>
      </c>
      <c r="D53" s="42" t="s">
        <v>67</v>
      </c>
      <c r="E53" s="43"/>
      <c r="F53" s="43"/>
      <c r="G53" s="43"/>
      <c r="H53" s="43"/>
      <c r="I53" s="43"/>
      <c r="J53" s="43"/>
      <c r="K53" s="43"/>
      <c r="L53" s="43"/>
      <c r="M53" s="43"/>
      <c r="N53" s="43">
        <v>0</v>
      </c>
      <c r="O53" s="43"/>
      <c r="P53" s="43">
        <v>0</v>
      </c>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5"/>
      <c r="C55" s="46"/>
      <c r="D55" s="19"/>
      <c r="E55" s="20"/>
      <c r="F55" s="20"/>
      <c r="G55" s="20"/>
      <c r="H55" s="20"/>
      <c r="I55" s="20"/>
      <c r="J55" s="20"/>
      <c r="K55" s="20"/>
      <c r="L55" s="20"/>
      <c r="M55" s="20"/>
      <c r="N55" s="20"/>
      <c r="O55" s="20"/>
      <c r="P55" s="20"/>
      <c r="Q55" s="23"/>
      <c r="R55" s="19"/>
      <c r="S55" s="20"/>
      <c r="T55" s="23"/>
      <c r="U55" s="20"/>
      <c r="V55" s="20"/>
      <c r="W55" s="23"/>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5" thickBot="1">
      <c r="B57" s="47"/>
      <c r="C57" s="48"/>
      <c r="D57" s="28"/>
      <c r="E57" s="29"/>
      <c r="F57" s="29"/>
      <c r="G57" s="29"/>
      <c r="H57" s="29"/>
      <c r="I57" s="29"/>
      <c r="J57" s="29"/>
      <c r="K57" s="29"/>
      <c r="L57" s="29"/>
      <c r="M57" s="49" t="s">
        <v>24</v>
      </c>
      <c r="N57" s="29">
        <f>SUM(N34:N55)</f>
        <v>0.85</v>
      </c>
      <c r="O57" s="29"/>
      <c r="P57" s="29">
        <f>SUM(P34:P55)</f>
        <v>21</v>
      </c>
      <c r="Q57" s="30"/>
      <c r="R57" s="28"/>
      <c r="S57" s="29"/>
      <c r="T57" s="30"/>
      <c r="U57" s="29"/>
      <c r="V57" s="29"/>
      <c r="W57"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W58"/>
  <sheetViews>
    <sheetView zoomScale="130" zoomScaleNormal="13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390</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114204-00S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1/3, PLAIN, MC TUBE</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24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114204-00S</v>
      </c>
      <c r="H19" s="13" t="str">
        <f>D11</f>
        <v>STIFFENER, 1/3, PLAIN, MC TUBE</v>
      </c>
      <c r="Q19" s="13" t="s">
        <v>145</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.38 THK, 24.37 WD, 78.75 LG</v>
      </c>
      <c r="Q26" s="50">
        <f>INDEX(BOM!M:M,MATCH($P$3,BOM!$P:$P,0)+1,1)</f>
        <v>24</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209</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t="s">
        <v>210</v>
      </c>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50</v>
      </c>
      <c r="D33" s="19" t="s">
        <v>243</v>
      </c>
      <c r="E33" s="20"/>
      <c r="F33" s="20"/>
      <c r="G33" s="20"/>
      <c r="H33" s="20"/>
      <c r="I33" s="20"/>
      <c r="J33" s="20"/>
      <c r="K33" s="20"/>
      <c r="L33" s="20"/>
      <c r="M33" s="20"/>
      <c r="N33" s="20">
        <v>0.5</v>
      </c>
      <c r="O33" s="20"/>
      <c r="P33" s="20">
        <v>8</v>
      </c>
      <c r="R33" s="19"/>
      <c r="S33" s="20"/>
      <c r="T33" s="23"/>
      <c r="U33" s="20"/>
      <c r="V33" s="20"/>
      <c r="W33" s="23"/>
    </row>
    <row r="34" spans="2:23" ht="14.25">
      <c r="B34" s="45"/>
      <c r="C34" s="46"/>
      <c r="D34" s="19"/>
      <c r="E34" s="20"/>
      <c r="F34" s="20"/>
      <c r="G34" s="20"/>
      <c r="H34" s="20"/>
      <c r="I34" s="20"/>
      <c r="J34" s="20"/>
      <c r="K34" s="20"/>
      <c r="L34" s="20"/>
      <c r="M34" s="20"/>
      <c r="N34" s="20"/>
      <c r="O34" s="20"/>
      <c r="P34" s="20"/>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0">
        <v>60</v>
      </c>
      <c r="D36" s="43" t="s">
        <v>525</v>
      </c>
      <c r="E36" s="43"/>
      <c r="F36" s="43"/>
      <c r="G36" s="43"/>
      <c r="H36" s="43"/>
      <c r="I36" s="43"/>
      <c r="J36" s="43"/>
      <c r="K36" s="43"/>
      <c r="L36" s="43"/>
      <c r="M36" s="43"/>
      <c r="N36" s="43">
        <v>0</v>
      </c>
      <c r="O36" s="43"/>
      <c r="P36" s="43">
        <v>0</v>
      </c>
      <c r="Q36" s="44"/>
      <c r="R36" s="42"/>
      <c r="S36" s="43"/>
      <c r="T36" s="44"/>
      <c r="U36" s="43"/>
      <c r="V36" s="43"/>
      <c r="W36" s="44"/>
    </row>
    <row r="37" spans="2:23" ht="14.25">
      <c r="B37" s="40"/>
      <c r="C37" s="40"/>
      <c r="D37" s="43"/>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526</v>
      </c>
      <c r="E39" s="20"/>
      <c r="F39" s="20"/>
      <c r="G39" s="20"/>
      <c r="H39" s="20"/>
      <c r="I39" s="20"/>
      <c r="J39" s="20"/>
      <c r="K39" s="20"/>
      <c r="L39" s="20"/>
      <c r="M39" s="20"/>
      <c r="N39" s="20">
        <v>0.5</v>
      </c>
      <c r="O39" s="20"/>
      <c r="P39" s="20">
        <v>1</v>
      </c>
      <c r="Q39" s="23"/>
      <c r="R39" s="19"/>
      <c r="S39" s="20"/>
      <c r="T39" s="23"/>
      <c r="U39" s="20"/>
      <c r="V39" s="20"/>
      <c r="W39" s="23"/>
    </row>
    <row r="40" spans="2:23" ht="15">
      <c r="B40" s="45"/>
      <c r="C40" s="46"/>
      <c r="D40" s="19" t="s">
        <v>527</v>
      </c>
      <c r="E40" s="20"/>
      <c r="F40" s="20"/>
      <c r="G40" s="20"/>
      <c r="H40" s="20"/>
      <c r="I40" s="20"/>
      <c r="J40" s="20"/>
      <c r="K40" s="20"/>
      <c r="L40" s="20"/>
      <c r="M40" s="20"/>
      <c r="N40" s="20"/>
      <c r="O40" s="20"/>
      <c r="P40" s="20"/>
      <c r="Q40" s="23"/>
      <c r="R40" s="19"/>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0">
        <v>47</v>
      </c>
      <c r="D42" s="43" t="s">
        <v>244</v>
      </c>
      <c r="E42" s="43"/>
      <c r="F42" s="43"/>
      <c r="G42" s="43"/>
      <c r="H42" s="43"/>
      <c r="I42" s="43"/>
      <c r="J42" s="43"/>
      <c r="K42" s="43"/>
      <c r="L42" s="43"/>
      <c r="M42" s="43"/>
      <c r="N42" s="43">
        <v>0</v>
      </c>
      <c r="O42" s="43"/>
      <c r="P42" s="43">
        <v>2</v>
      </c>
      <c r="Q42" s="43"/>
      <c r="R42" s="42"/>
      <c r="S42" s="43"/>
      <c r="T42" s="44"/>
      <c r="U42" s="43"/>
      <c r="V42" s="43"/>
      <c r="W42" s="44"/>
    </row>
    <row r="43" spans="2:23" ht="14.25">
      <c r="B43" s="40"/>
      <c r="C43" s="40"/>
      <c r="D43" s="43"/>
      <c r="E43" s="43"/>
      <c r="F43" s="43"/>
      <c r="G43" s="43"/>
      <c r="H43" s="43"/>
      <c r="I43" s="43"/>
      <c r="J43" s="43"/>
      <c r="K43" s="43"/>
      <c r="L43" s="43"/>
      <c r="M43" s="43"/>
      <c r="N43" s="43"/>
      <c r="O43" s="43"/>
      <c r="P43" s="43"/>
      <c r="Q43" s="43"/>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5">
        <v>60</v>
      </c>
      <c r="D45" s="20" t="s">
        <v>67</v>
      </c>
      <c r="E45" s="20"/>
      <c r="F45" s="20"/>
      <c r="G45" s="20"/>
      <c r="H45" s="20"/>
      <c r="I45" s="20"/>
      <c r="J45" s="20"/>
      <c r="K45" s="20"/>
      <c r="L45" s="20"/>
      <c r="M45" s="20"/>
      <c r="N45" s="20">
        <v>0</v>
      </c>
      <c r="O45" s="20"/>
      <c r="P45" s="20">
        <v>0</v>
      </c>
      <c r="Q45" s="23"/>
      <c r="R45" s="20"/>
      <c r="S45" s="20"/>
      <c r="T45" s="23"/>
      <c r="U45" s="20"/>
      <c r="V45" s="20"/>
      <c r="W45" s="23"/>
    </row>
    <row r="46" spans="2:23" ht="14.25">
      <c r="B46" s="45"/>
      <c r="C46" s="98"/>
      <c r="D46" s="20"/>
      <c r="E46" s="20"/>
      <c r="F46" s="20"/>
      <c r="G46" s="20"/>
      <c r="H46" s="20"/>
      <c r="I46" s="20"/>
      <c r="J46" s="20"/>
      <c r="K46" s="20"/>
      <c r="L46" s="20"/>
      <c r="M46" s="20"/>
      <c r="N46" s="20"/>
      <c r="O46" s="20"/>
      <c r="P46" s="20"/>
      <c r="Q46" s="23"/>
      <c r="R46" s="20"/>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1</v>
      </c>
      <c r="O58" s="29"/>
      <c r="P58" s="29">
        <f>SUM(P29:P56)</f>
        <v>11</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2:W58"/>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391</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114205-00S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LIFTING,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4</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114205-00S</v>
      </c>
      <c r="H19" s="13" t="str">
        <f>D11</f>
        <v>STIFFENER, LIFTING, MC TUBES</v>
      </c>
      <c r="Q19" s="13" t="s">
        <v>145</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25.41 WD, 78.75 LG</v>
      </c>
      <c r="Q26" s="50">
        <f>INDEX(BOM!M:M,MATCH($P$3,BOM!$P:$P,0)+1,1)</f>
        <v>4</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209</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t="s">
        <v>210</v>
      </c>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50</v>
      </c>
      <c r="D33" s="19" t="s">
        <v>243</v>
      </c>
      <c r="E33" s="20"/>
      <c r="F33" s="20"/>
      <c r="G33" s="20"/>
      <c r="H33" s="20"/>
      <c r="I33" s="20"/>
      <c r="J33" s="20"/>
      <c r="K33" s="20"/>
      <c r="L33" s="20"/>
      <c r="M33" s="20"/>
      <c r="N33" s="20">
        <v>0.5</v>
      </c>
      <c r="O33" s="20"/>
      <c r="P33" s="20">
        <v>8</v>
      </c>
      <c r="R33" s="19"/>
      <c r="S33" s="20"/>
      <c r="T33" s="23"/>
      <c r="U33" s="20"/>
      <c r="V33" s="20"/>
      <c r="W33" s="23"/>
    </row>
    <row r="34" spans="2:23" ht="14.25">
      <c r="B34" s="45"/>
      <c r="C34" s="46"/>
      <c r="D34" s="19"/>
      <c r="E34" s="20"/>
      <c r="F34" s="20"/>
      <c r="G34" s="20"/>
      <c r="H34" s="20"/>
      <c r="I34" s="20"/>
      <c r="J34" s="20"/>
      <c r="K34" s="20"/>
      <c r="L34" s="20"/>
      <c r="M34" s="20"/>
      <c r="N34" s="20"/>
      <c r="O34" s="20"/>
      <c r="P34" s="20"/>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0">
        <v>60</v>
      </c>
      <c r="D36" s="43" t="s">
        <v>525</v>
      </c>
      <c r="E36" s="43"/>
      <c r="F36" s="43"/>
      <c r="G36" s="43"/>
      <c r="H36" s="43"/>
      <c r="I36" s="43"/>
      <c r="J36" s="43"/>
      <c r="K36" s="43"/>
      <c r="L36" s="43"/>
      <c r="M36" s="43"/>
      <c r="N36" s="43">
        <v>0</v>
      </c>
      <c r="O36" s="43"/>
      <c r="P36" s="43">
        <v>0</v>
      </c>
      <c r="Q36" s="44"/>
      <c r="R36" s="42"/>
      <c r="S36" s="43"/>
      <c r="T36" s="44"/>
      <c r="U36" s="43"/>
      <c r="V36" s="43"/>
      <c r="W36" s="44"/>
    </row>
    <row r="37" spans="2:23" ht="14.25">
      <c r="B37" s="40"/>
      <c r="C37" s="40"/>
      <c r="D37" s="43"/>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526</v>
      </c>
      <c r="E39" s="20"/>
      <c r="F39" s="20"/>
      <c r="G39" s="20"/>
      <c r="H39" s="20"/>
      <c r="I39" s="20"/>
      <c r="J39" s="20"/>
      <c r="K39" s="20"/>
      <c r="L39" s="20"/>
      <c r="M39" s="20"/>
      <c r="N39" s="20">
        <v>0.5</v>
      </c>
      <c r="O39" s="20"/>
      <c r="P39" s="20">
        <v>1</v>
      </c>
      <c r="Q39" s="23"/>
      <c r="R39" s="20"/>
      <c r="S39" s="20"/>
      <c r="T39" s="23"/>
      <c r="U39" s="20"/>
      <c r="V39" s="20"/>
      <c r="W39" s="23"/>
    </row>
    <row r="40" spans="2:23" ht="15">
      <c r="B40" s="45"/>
      <c r="C40" s="46"/>
      <c r="D40" s="19" t="s">
        <v>527</v>
      </c>
      <c r="E40" s="20"/>
      <c r="F40" s="20"/>
      <c r="G40" s="20"/>
      <c r="H40" s="20"/>
      <c r="I40" s="20"/>
      <c r="J40" s="20"/>
      <c r="K40" s="20"/>
      <c r="L40" s="20"/>
      <c r="M40" s="20"/>
      <c r="N40" s="20"/>
      <c r="O40" s="20"/>
      <c r="P40" s="20"/>
      <c r="Q40" s="23"/>
      <c r="R40" s="20"/>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0">
        <v>47</v>
      </c>
      <c r="D42" s="43" t="s">
        <v>244</v>
      </c>
      <c r="E42" s="43"/>
      <c r="F42" s="43"/>
      <c r="G42" s="43"/>
      <c r="H42" s="43"/>
      <c r="I42" s="43"/>
      <c r="J42" s="43"/>
      <c r="K42" s="43"/>
      <c r="L42" s="43"/>
      <c r="M42" s="43"/>
      <c r="N42" s="43">
        <v>0</v>
      </c>
      <c r="O42" s="43"/>
      <c r="P42" s="43">
        <v>2</v>
      </c>
      <c r="Q42" s="43"/>
      <c r="R42" s="42"/>
      <c r="S42" s="43"/>
      <c r="T42" s="44"/>
      <c r="U42" s="43"/>
      <c r="V42" s="43"/>
      <c r="W42" s="44"/>
    </row>
    <row r="43" spans="2:23" ht="14.25">
      <c r="B43" s="40"/>
      <c r="C43" s="40"/>
      <c r="D43" s="43"/>
      <c r="E43" s="43"/>
      <c r="F43" s="43"/>
      <c r="G43" s="43"/>
      <c r="H43" s="43"/>
      <c r="I43" s="43"/>
      <c r="J43" s="43"/>
      <c r="K43" s="43"/>
      <c r="L43" s="43"/>
      <c r="M43" s="43"/>
      <c r="N43" s="43"/>
      <c r="O43" s="43"/>
      <c r="P43" s="43"/>
      <c r="Q43" s="43"/>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5">
        <v>60</v>
      </c>
      <c r="D45" s="20" t="s">
        <v>67</v>
      </c>
      <c r="E45" s="20"/>
      <c r="F45" s="20"/>
      <c r="G45" s="20"/>
      <c r="H45" s="20"/>
      <c r="I45" s="20"/>
      <c r="J45" s="20"/>
      <c r="K45" s="20"/>
      <c r="L45" s="20"/>
      <c r="M45" s="20"/>
      <c r="N45" s="20">
        <v>0</v>
      </c>
      <c r="O45" s="20"/>
      <c r="P45" s="20">
        <v>0</v>
      </c>
      <c r="Q45" s="23"/>
      <c r="R45" s="19"/>
      <c r="S45" s="20"/>
      <c r="T45" s="23"/>
      <c r="U45" s="20"/>
      <c r="V45" s="20"/>
      <c r="W45" s="23"/>
    </row>
    <row r="46" spans="2:23" ht="14.25">
      <c r="B46" s="45"/>
      <c r="C46" s="98"/>
      <c r="D46" s="20"/>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1</v>
      </c>
      <c r="O58" s="29"/>
      <c r="P58" s="29">
        <f>SUM(P29:P56)</f>
        <v>11</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W58"/>
  <sheetViews>
    <sheetView zoomScale="110" zoomScaleNormal="110" workbookViewId="0" topLeftCell="A1">
      <selection activeCell="Q21" sqref="Q21"/>
    </sheetView>
  </sheetViews>
  <sheetFormatPr defaultColWidth="9.140625" defaultRowHeight="15"/>
  <cols>
    <col min="1" max="1" width="0.85546875" style="13" customWidth="1"/>
    <col min="2" max="3" width="7.28125" style="13" customWidth="1"/>
    <col min="4" max="8" width="3.8515625" style="13" customWidth="1"/>
    <col min="9" max="9" width="9.00390625" style="13" customWidth="1"/>
    <col min="10" max="10" width="7.8515625" style="13" customWidth="1"/>
    <col min="11" max="12" width="3.8515625" style="13" customWidth="1"/>
    <col min="13" max="13" width="5.140625" style="13" customWidth="1"/>
    <col min="14" max="14" width="7.7109375" style="13" customWidth="1"/>
    <col min="15" max="15" width="2.7109375" style="13" customWidth="1"/>
    <col min="16" max="16" width="13.421875" style="13" customWidth="1"/>
    <col min="17" max="23" width="3.28125" style="13" customWidth="1"/>
    <col min="24" max="16384" width="9.140625" style="13" customWidth="1"/>
  </cols>
  <sheetData>
    <row r="1" ht="9.75" customHeight="1" thickBot="1"/>
    <row r="2" spans="2:23" ht="15">
      <c r="B2" s="14"/>
      <c r="C2" s="15"/>
      <c r="D2" s="15"/>
      <c r="E2" s="15"/>
      <c r="F2" s="15"/>
      <c r="G2" s="16" t="s">
        <v>40</v>
      </c>
      <c r="H2" s="15"/>
      <c r="I2" s="15"/>
      <c r="J2" s="15"/>
      <c r="K2" s="15"/>
      <c r="L2" s="15"/>
      <c r="M2" s="15"/>
      <c r="N2" s="15"/>
      <c r="O2" s="15"/>
      <c r="P2" s="17"/>
      <c r="Q2" s="15"/>
      <c r="R2" s="15"/>
      <c r="S2" s="15"/>
      <c r="T2" s="15"/>
      <c r="U2" s="15"/>
      <c r="V2" s="15"/>
      <c r="W2" s="18" t="s">
        <v>42</v>
      </c>
    </row>
    <row r="3" spans="2:23" ht="27.75">
      <c r="B3" s="19"/>
      <c r="C3" s="20"/>
      <c r="D3" s="20"/>
      <c r="E3" s="20"/>
      <c r="F3" s="20"/>
      <c r="G3" s="20"/>
      <c r="H3" s="20"/>
      <c r="I3" s="20"/>
      <c r="J3" s="20"/>
      <c r="K3" s="20"/>
      <c r="L3" s="20"/>
      <c r="M3" s="20"/>
      <c r="N3" s="20"/>
      <c r="O3" s="21" t="s">
        <v>0</v>
      </c>
      <c r="P3" s="22" t="s">
        <v>392</v>
      </c>
      <c r="Q3" s="11"/>
      <c r="R3" s="20"/>
      <c r="S3" s="20"/>
      <c r="T3" s="20"/>
      <c r="U3" s="20"/>
      <c r="V3" s="20"/>
      <c r="W3" s="23"/>
    </row>
    <row r="4" spans="2:23" ht="14.25">
      <c r="B4" s="19"/>
      <c r="C4" s="20"/>
      <c r="D4" s="20"/>
      <c r="E4" s="20"/>
      <c r="F4" s="20"/>
      <c r="G4" s="20"/>
      <c r="H4" s="20"/>
      <c r="I4" s="20"/>
      <c r="J4" s="20"/>
      <c r="K4" s="20"/>
      <c r="L4" s="20"/>
      <c r="M4" s="20"/>
      <c r="N4" s="20"/>
      <c r="O4" s="20"/>
      <c r="P4" s="20"/>
      <c r="Q4" s="20"/>
      <c r="R4" s="20"/>
      <c r="S4" s="20"/>
      <c r="T4" s="20"/>
      <c r="U4" s="20"/>
      <c r="V4" s="20"/>
      <c r="W4" s="23"/>
    </row>
    <row r="5" spans="2:23" ht="14.25">
      <c r="B5" s="19"/>
      <c r="C5" s="20"/>
      <c r="D5" s="20"/>
      <c r="E5" s="20"/>
      <c r="F5" s="20"/>
      <c r="G5" s="20"/>
      <c r="H5" s="20"/>
      <c r="I5" s="20"/>
      <c r="J5" s="20"/>
      <c r="K5" s="20"/>
      <c r="L5" s="20"/>
      <c r="M5" s="20"/>
      <c r="N5" s="20"/>
      <c r="O5" s="20"/>
      <c r="P5" s="20"/>
      <c r="Q5" s="20"/>
      <c r="R5" s="20"/>
      <c r="S5" s="20"/>
      <c r="T5" s="20"/>
      <c r="U5" s="20"/>
      <c r="V5" s="20"/>
      <c r="W5" s="23"/>
    </row>
    <row r="6" spans="2:23" ht="15" thickBot="1">
      <c r="B6" s="19"/>
      <c r="C6" s="20"/>
      <c r="D6" s="20"/>
      <c r="E6" s="20"/>
      <c r="F6" s="20"/>
      <c r="G6" s="20"/>
      <c r="H6" s="20"/>
      <c r="I6" s="20"/>
      <c r="J6" s="20"/>
      <c r="K6" s="20"/>
      <c r="L6" s="20"/>
      <c r="M6" s="20"/>
      <c r="N6" s="20"/>
      <c r="O6" s="20"/>
      <c r="P6" s="20"/>
      <c r="Q6" s="20"/>
      <c r="R6" s="20"/>
      <c r="S6" s="20"/>
      <c r="T6" s="20"/>
      <c r="U6" s="20"/>
      <c r="V6" s="20"/>
      <c r="W6" s="23"/>
    </row>
    <row r="7" spans="2:23" ht="15.75" thickBot="1">
      <c r="B7" s="19"/>
      <c r="C7" s="138" t="s">
        <v>534</v>
      </c>
      <c r="D7" s="139"/>
      <c r="E7" s="139"/>
      <c r="F7" s="139"/>
      <c r="G7" s="139"/>
      <c r="H7" s="139"/>
      <c r="I7" s="139"/>
      <c r="J7" s="139"/>
      <c r="K7" s="139"/>
      <c r="L7" s="139"/>
      <c r="M7" s="139"/>
      <c r="N7" s="139"/>
      <c r="O7" s="139"/>
      <c r="P7" s="139"/>
      <c r="Q7" s="139"/>
      <c r="R7" s="140"/>
      <c r="S7" s="20"/>
      <c r="T7" s="20"/>
      <c r="U7" s="20"/>
      <c r="V7" s="20"/>
      <c r="W7" s="23"/>
    </row>
    <row r="8" spans="2:23" ht="15.75" thickBot="1">
      <c r="B8" s="19"/>
      <c r="C8" s="138" t="s">
        <v>535</v>
      </c>
      <c r="D8" s="139"/>
      <c r="E8" s="139"/>
      <c r="F8" s="139"/>
      <c r="G8" s="139"/>
      <c r="H8" s="139"/>
      <c r="I8" s="139"/>
      <c r="J8" s="139"/>
      <c r="K8" s="139"/>
      <c r="L8" s="139"/>
      <c r="M8" s="139"/>
      <c r="N8" s="139"/>
      <c r="O8" s="139"/>
      <c r="P8" s="139"/>
      <c r="Q8" s="139"/>
      <c r="R8" s="140"/>
      <c r="S8" s="20"/>
      <c r="T8" s="20"/>
      <c r="U8" s="20"/>
      <c r="V8" s="20"/>
      <c r="W8" s="23"/>
    </row>
    <row r="9" spans="2:23" ht="22.5" customHeight="1">
      <c r="B9" s="19"/>
      <c r="C9" s="21" t="s">
        <v>1</v>
      </c>
      <c r="D9" s="50" t="str">
        <f>INDEX(BOM!I:I,MATCH($P$3,BOM!$P:$P,0),1)</f>
        <v>114206-00S</v>
      </c>
      <c r="E9" s="20"/>
      <c r="F9" s="20"/>
      <c r="G9" s="20"/>
      <c r="H9" s="20"/>
      <c r="I9" s="20"/>
      <c r="J9" s="20"/>
      <c r="K9" s="20"/>
      <c r="L9" s="20"/>
      <c r="M9" s="20"/>
      <c r="N9" s="24" t="s">
        <v>2</v>
      </c>
      <c r="O9" s="20"/>
      <c r="P9" s="129" t="str">
        <f>INDEX(BOM!O:O,MATCH($P$3,BOM!$P:$P,0),1)</f>
        <v>12/10/10</v>
      </c>
      <c r="Q9" s="20"/>
      <c r="R9" s="20"/>
      <c r="S9" s="20"/>
      <c r="T9" s="20"/>
      <c r="U9" s="20"/>
      <c r="V9" s="20"/>
      <c r="W9" s="23"/>
    </row>
    <row r="10" spans="2:23" ht="14.25">
      <c r="B10" s="19"/>
      <c r="C10" s="20"/>
      <c r="D10" s="20"/>
      <c r="E10" s="20"/>
      <c r="F10" s="20"/>
      <c r="G10" s="20"/>
      <c r="H10" s="20"/>
      <c r="I10" s="20"/>
      <c r="J10" s="20"/>
      <c r="K10" s="20"/>
      <c r="L10" s="20"/>
      <c r="M10" s="20"/>
      <c r="N10" s="20"/>
      <c r="O10" s="20"/>
      <c r="P10" s="25"/>
      <c r="Q10" s="20"/>
      <c r="R10" s="20"/>
      <c r="S10" s="20"/>
      <c r="T10" s="20"/>
      <c r="U10" s="20"/>
      <c r="V10" s="20"/>
      <c r="W10" s="23"/>
    </row>
    <row r="11" spans="2:23" ht="17.25" customHeight="1">
      <c r="B11" s="19"/>
      <c r="C11" s="21" t="s">
        <v>3</v>
      </c>
      <c r="D11" s="50" t="str">
        <f>INDEX(BOM!J:J,MATCH($P$3,BOM!$P:$P,0),1)</f>
        <v>STIFFENER, THICK, MC TUBES</v>
      </c>
      <c r="E11" s="20"/>
      <c r="F11" s="20"/>
      <c r="G11" s="20"/>
      <c r="H11" s="20"/>
      <c r="I11" s="20"/>
      <c r="J11" s="20"/>
      <c r="K11" s="20"/>
      <c r="L11" s="21" t="s">
        <v>4</v>
      </c>
      <c r="N11" s="20"/>
      <c r="O11" s="20"/>
      <c r="P11" s="20"/>
      <c r="Q11" s="20"/>
      <c r="R11" s="20"/>
      <c r="S11" s="20"/>
      <c r="T11" s="20"/>
      <c r="U11" s="20"/>
      <c r="V11" s="20"/>
      <c r="W11" s="23"/>
    </row>
    <row r="12" spans="2:23" ht="14.25">
      <c r="B12" s="19"/>
      <c r="C12" s="20"/>
      <c r="D12" s="20"/>
      <c r="E12" s="20"/>
      <c r="F12" s="20"/>
      <c r="G12" s="20"/>
      <c r="H12" s="20"/>
      <c r="I12" s="20"/>
      <c r="J12" s="20"/>
      <c r="K12" s="20"/>
      <c r="L12" s="50">
        <f>INDEX(BOM!M:M,MATCH($P$3,BOM!$P:$P,0),1)</f>
        <v>8</v>
      </c>
      <c r="M12" s="20"/>
      <c r="N12" s="20"/>
      <c r="O12" s="20"/>
      <c r="P12" s="20"/>
      <c r="Q12" s="20"/>
      <c r="R12" s="20"/>
      <c r="S12" s="21" t="s">
        <v>5</v>
      </c>
      <c r="T12" s="11">
        <v>1</v>
      </c>
      <c r="U12" s="11" t="s">
        <v>41</v>
      </c>
      <c r="V12" s="11">
        <v>1</v>
      </c>
      <c r="W12" s="23"/>
    </row>
    <row r="13" spans="2:23" ht="15" thickBot="1">
      <c r="B13" s="51" t="str">
        <f>BOM!I3</f>
        <v>114145-00</v>
      </c>
      <c r="C13" s="20"/>
      <c r="D13" s="20"/>
      <c r="E13" s="20"/>
      <c r="F13" s="20"/>
      <c r="G13" s="20"/>
      <c r="H13" s="20"/>
      <c r="I13" s="21" t="s">
        <v>6</v>
      </c>
      <c r="J13" s="26"/>
      <c r="K13" s="20"/>
      <c r="L13" s="20"/>
      <c r="M13" s="20"/>
      <c r="N13" s="20"/>
      <c r="O13" s="20"/>
      <c r="P13" s="20"/>
      <c r="Q13" s="20"/>
      <c r="R13" s="20"/>
      <c r="S13" s="20"/>
      <c r="T13" s="20"/>
      <c r="U13" s="20"/>
      <c r="V13" s="20"/>
      <c r="W13" s="23"/>
    </row>
    <row r="14" spans="2:23" ht="14.25">
      <c r="B14" s="14"/>
      <c r="C14" s="15"/>
      <c r="D14" s="15"/>
      <c r="E14" s="15"/>
      <c r="F14" s="15"/>
      <c r="G14" s="15"/>
      <c r="H14" s="15"/>
      <c r="I14" s="15"/>
      <c r="J14" s="15"/>
      <c r="K14" s="27"/>
      <c r="L14" s="15"/>
      <c r="M14" s="15"/>
      <c r="N14" s="15"/>
      <c r="O14" s="15"/>
      <c r="P14" s="15"/>
      <c r="Q14" s="15"/>
      <c r="R14" s="15"/>
      <c r="S14" s="15"/>
      <c r="T14" s="15"/>
      <c r="U14" s="15"/>
      <c r="V14" s="15"/>
      <c r="W14" s="27"/>
    </row>
    <row r="15" spans="2:23" ht="14.25">
      <c r="B15" s="19" t="s">
        <v>8</v>
      </c>
      <c r="C15" s="20"/>
      <c r="D15" s="20" t="s">
        <v>160</v>
      </c>
      <c r="E15" s="20"/>
      <c r="F15" s="20"/>
      <c r="G15" s="20"/>
      <c r="H15" s="21" t="s">
        <v>7</v>
      </c>
      <c r="I15" s="26">
        <v>40379</v>
      </c>
      <c r="J15" s="20"/>
      <c r="K15" s="23"/>
      <c r="L15" s="20"/>
      <c r="M15" s="20" t="s">
        <v>9</v>
      </c>
      <c r="N15" s="20"/>
      <c r="O15" s="20"/>
      <c r="P15" s="20"/>
      <c r="Q15" s="20" t="s">
        <v>10</v>
      </c>
      <c r="R15" s="20"/>
      <c r="S15" s="20"/>
      <c r="T15" s="20"/>
      <c r="U15" s="20"/>
      <c r="V15" s="20"/>
      <c r="W15" s="23"/>
    </row>
    <row r="16" spans="2:23" ht="15" thickBot="1">
      <c r="B16" s="28"/>
      <c r="C16" s="29"/>
      <c r="D16" s="29"/>
      <c r="E16" s="29"/>
      <c r="F16" s="29"/>
      <c r="G16" s="29"/>
      <c r="H16" s="29"/>
      <c r="I16" s="29"/>
      <c r="J16" s="29"/>
      <c r="K16" s="30"/>
      <c r="L16" s="29"/>
      <c r="M16" s="29"/>
      <c r="N16" s="29"/>
      <c r="O16" s="29"/>
      <c r="P16" s="29"/>
      <c r="Q16" s="29"/>
      <c r="R16" s="29"/>
      <c r="S16" s="29"/>
      <c r="T16" s="29"/>
      <c r="U16" s="29"/>
      <c r="V16" s="29"/>
      <c r="W16" s="30"/>
    </row>
    <row r="18" spans="2:17" ht="14.25">
      <c r="B18" s="31" t="s">
        <v>11</v>
      </c>
      <c r="C18" s="13" t="s">
        <v>12</v>
      </c>
      <c r="Q18" s="13" t="s">
        <v>14</v>
      </c>
    </row>
    <row r="19" spans="2:17" ht="14.25">
      <c r="B19" s="31" t="s">
        <v>11</v>
      </c>
      <c r="C19" s="32" t="s">
        <v>13</v>
      </c>
      <c r="D19" s="13" t="str">
        <f>D9</f>
        <v>114206-00S</v>
      </c>
      <c r="H19" s="13" t="str">
        <f>D11</f>
        <v>STIFFENER, THICK, MC TUBES</v>
      </c>
      <c r="Q19" s="13" t="s">
        <v>145</v>
      </c>
    </row>
    <row r="20" spans="2:17" ht="14.25">
      <c r="B20" s="31"/>
      <c r="D20" s="13" t="s">
        <v>205</v>
      </c>
      <c r="H20" s="13" t="s">
        <v>207</v>
      </c>
      <c r="Q20" s="13" t="s">
        <v>145</v>
      </c>
    </row>
    <row r="21" ht="14.25">
      <c r="B21" s="31"/>
    </row>
    <row r="22" spans="2:3" ht="14.25">
      <c r="B22" s="31" t="s">
        <v>11</v>
      </c>
      <c r="C22" s="13" t="s">
        <v>15</v>
      </c>
    </row>
    <row r="23" spans="2:4" ht="14.25">
      <c r="B23" s="31" t="s">
        <v>11</v>
      </c>
      <c r="C23" s="33" t="s">
        <v>13</v>
      </c>
      <c r="D23" s="66"/>
    </row>
    <row r="24" ht="14.25">
      <c r="B24" s="31"/>
    </row>
    <row r="25" spans="2:17" ht="14.25">
      <c r="B25" s="31" t="s">
        <v>11</v>
      </c>
      <c r="C25" s="13" t="s">
        <v>16</v>
      </c>
      <c r="Q25" s="13" t="s">
        <v>4</v>
      </c>
    </row>
    <row r="26" spans="2:17" ht="14.25">
      <c r="B26" s="31"/>
      <c r="C26" s="50" t="str">
        <f>INDEX(BOM!R:R,MATCH($P$3,BOM!$P:$P,0)+1,1)</f>
        <v>PLT, .88 THK,  24.41WD, 78.75 LG</v>
      </c>
      <c r="Q26" s="50">
        <f>INDEX(BOM!M:M,MATCH($P$3,BOM!$P:$P,0)+1,1)</f>
        <v>8</v>
      </c>
    </row>
    <row r="27" spans="2:14" ht="15" thickBot="1">
      <c r="B27" s="31"/>
      <c r="N27" s="137" t="str">
        <f>INDEX(BOM!N:N,MATCH($P$3,BOM!$P:$P,0)+1,1)</f>
        <v>AISI 304/AISI 304L DUAL CERTIFIED PER ASME SPEC SA-240</v>
      </c>
    </row>
    <row r="28" spans="2:23" ht="15" thickBot="1">
      <c r="B28" s="34" t="s">
        <v>17</v>
      </c>
      <c r="C28" s="35" t="s">
        <v>18</v>
      </c>
      <c r="D28" s="36" t="s">
        <v>19</v>
      </c>
      <c r="E28" s="37"/>
      <c r="F28" s="37"/>
      <c r="G28" s="37"/>
      <c r="H28" s="37"/>
      <c r="I28" s="37"/>
      <c r="J28" s="37"/>
      <c r="K28" s="37"/>
      <c r="L28" s="37"/>
      <c r="M28" s="37"/>
      <c r="N28" s="37" t="s">
        <v>20</v>
      </c>
      <c r="O28" s="37"/>
      <c r="P28" s="37" t="s">
        <v>21</v>
      </c>
      <c r="Q28" s="38"/>
      <c r="R28" s="36"/>
      <c r="S28" s="39" t="s">
        <v>22</v>
      </c>
      <c r="T28" s="38"/>
      <c r="U28" s="37"/>
      <c r="V28" s="39" t="s">
        <v>23</v>
      </c>
      <c r="W28" s="38"/>
    </row>
    <row r="29" spans="2:23" ht="14.25">
      <c r="B29" s="40"/>
      <c r="C29" s="41"/>
      <c r="D29" s="42"/>
      <c r="E29" s="43"/>
      <c r="F29" s="43"/>
      <c r="G29" s="43"/>
      <c r="H29" s="43"/>
      <c r="I29" s="43"/>
      <c r="J29" s="43"/>
      <c r="K29" s="43"/>
      <c r="L29" s="43"/>
      <c r="M29" s="43"/>
      <c r="N29" s="43"/>
      <c r="O29" s="43"/>
      <c r="P29" s="43"/>
      <c r="Q29" s="44"/>
      <c r="R29" s="42"/>
      <c r="S29" s="43"/>
      <c r="T29" s="44"/>
      <c r="U29" s="43"/>
      <c r="V29" s="43"/>
      <c r="W29" s="44"/>
    </row>
    <row r="30" spans="2:23" ht="14.25">
      <c r="B30" s="40">
        <v>10</v>
      </c>
      <c r="C30" s="41">
        <v>60</v>
      </c>
      <c r="D30" s="42" t="s">
        <v>209</v>
      </c>
      <c r="E30" s="43"/>
      <c r="F30" s="43"/>
      <c r="G30" s="43"/>
      <c r="H30" s="43"/>
      <c r="I30" s="43"/>
      <c r="J30" s="43"/>
      <c r="K30" s="43"/>
      <c r="L30" s="43"/>
      <c r="M30" s="43"/>
      <c r="N30" s="43">
        <v>0</v>
      </c>
      <c r="O30" s="43"/>
      <c r="P30" s="43">
        <v>0</v>
      </c>
      <c r="Q30" s="44"/>
      <c r="R30" s="42"/>
      <c r="S30" s="43"/>
      <c r="T30" s="44"/>
      <c r="U30" s="43"/>
      <c r="V30" s="43"/>
      <c r="W30" s="44"/>
    </row>
    <row r="31" spans="2:23" ht="14.25">
      <c r="B31" s="40"/>
      <c r="C31" s="41"/>
      <c r="D31" s="42" t="s">
        <v>210</v>
      </c>
      <c r="E31" s="43"/>
      <c r="F31" s="43"/>
      <c r="G31" s="43"/>
      <c r="H31" s="43"/>
      <c r="I31" s="43"/>
      <c r="J31" s="43"/>
      <c r="K31" s="43"/>
      <c r="L31" s="43"/>
      <c r="M31" s="43"/>
      <c r="N31" s="43"/>
      <c r="O31" s="43"/>
      <c r="P31" s="43"/>
      <c r="Q31" s="44"/>
      <c r="R31" s="42"/>
      <c r="S31" s="43"/>
      <c r="T31" s="44"/>
      <c r="U31" s="43"/>
      <c r="V31" s="43"/>
      <c r="W31" s="44"/>
    </row>
    <row r="32" spans="2:23" ht="14.25">
      <c r="B32" s="45"/>
      <c r="C32" s="46"/>
      <c r="D32" s="19"/>
      <c r="E32" s="20"/>
      <c r="F32" s="20"/>
      <c r="G32" s="20"/>
      <c r="H32" s="20"/>
      <c r="I32" s="20"/>
      <c r="J32" s="20"/>
      <c r="K32" s="20"/>
      <c r="L32" s="20"/>
      <c r="M32" s="20"/>
      <c r="N32" s="20"/>
      <c r="O32" s="20"/>
      <c r="P32" s="20"/>
      <c r="Q32" s="23"/>
      <c r="R32" s="19"/>
      <c r="S32" s="20"/>
      <c r="T32" s="23"/>
      <c r="U32" s="20"/>
      <c r="V32" s="20"/>
      <c r="W32" s="23"/>
    </row>
    <row r="33" spans="2:23" ht="14.25">
      <c r="B33" s="45">
        <v>20</v>
      </c>
      <c r="C33" s="46">
        <v>50</v>
      </c>
      <c r="D33" s="19" t="s">
        <v>243</v>
      </c>
      <c r="E33" s="20"/>
      <c r="F33" s="20"/>
      <c r="G33" s="20"/>
      <c r="H33" s="20"/>
      <c r="I33" s="20"/>
      <c r="J33" s="20"/>
      <c r="K33" s="20"/>
      <c r="L33" s="20"/>
      <c r="M33" s="20"/>
      <c r="N33" s="20">
        <v>0.5</v>
      </c>
      <c r="O33" s="20"/>
      <c r="P33" s="20">
        <v>8</v>
      </c>
      <c r="R33" s="19"/>
      <c r="S33" s="20"/>
      <c r="T33" s="23"/>
      <c r="U33" s="20"/>
      <c r="V33" s="20"/>
      <c r="W33" s="23"/>
    </row>
    <row r="34" spans="2:23" ht="14.25">
      <c r="B34" s="45"/>
      <c r="C34" s="46"/>
      <c r="D34" s="19"/>
      <c r="E34" s="20"/>
      <c r="F34" s="20"/>
      <c r="G34" s="20"/>
      <c r="H34" s="20"/>
      <c r="I34" s="20"/>
      <c r="J34" s="20"/>
      <c r="K34" s="20"/>
      <c r="L34" s="20"/>
      <c r="M34" s="20"/>
      <c r="N34" s="20"/>
      <c r="O34" s="20"/>
      <c r="P34" s="20"/>
      <c r="R34" s="19"/>
      <c r="S34" s="20"/>
      <c r="T34" s="23"/>
      <c r="U34" s="20"/>
      <c r="V34" s="20"/>
      <c r="W34" s="23"/>
    </row>
    <row r="35" spans="2:23" ht="14.25">
      <c r="B35" s="40"/>
      <c r="C35" s="41"/>
      <c r="D35" s="42"/>
      <c r="E35" s="43"/>
      <c r="F35" s="43"/>
      <c r="G35" s="43"/>
      <c r="H35" s="43"/>
      <c r="I35" s="43"/>
      <c r="J35" s="43"/>
      <c r="K35" s="43"/>
      <c r="L35" s="43"/>
      <c r="M35" s="43"/>
      <c r="N35" s="43"/>
      <c r="O35" s="43"/>
      <c r="P35" s="43"/>
      <c r="Q35" s="44"/>
      <c r="R35" s="42"/>
      <c r="S35" s="43"/>
      <c r="T35" s="44"/>
      <c r="U35" s="43"/>
      <c r="V35" s="43"/>
      <c r="W35" s="44"/>
    </row>
    <row r="36" spans="2:23" ht="14.25">
      <c r="B36" s="40">
        <v>30</v>
      </c>
      <c r="C36" s="40">
        <v>60</v>
      </c>
      <c r="D36" s="43" t="s">
        <v>525</v>
      </c>
      <c r="E36" s="43"/>
      <c r="F36" s="43"/>
      <c r="G36" s="43"/>
      <c r="H36" s="43"/>
      <c r="I36" s="43"/>
      <c r="J36" s="43"/>
      <c r="K36" s="43"/>
      <c r="L36" s="43"/>
      <c r="M36" s="43"/>
      <c r="N36" s="43">
        <v>0</v>
      </c>
      <c r="O36" s="43"/>
      <c r="P36" s="43">
        <v>0</v>
      </c>
      <c r="Q36" s="44"/>
      <c r="R36" s="42"/>
      <c r="S36" s="43"/>
      <c r="T36" s="44"/>
      <c r="U36" s="43"/>
      <c r="V36" s="43"/>
      <c r="W36" s="44"/>
    </row>
    <row r="37" spans="2:23" ht="14.25">
      <c r="B37" s="40"/>
      <c r="C37" s="40"/>
      <c r="D37" s="43"/>
      <c r="E37" s="43"/>
      <c r="F37" s="43"/>
      <c r="G37" s="43"/>
      <c r="H37" s="43"/>
      <c r="I37" s="43"/>
      <c r="J37" s="43"/>
      <c r="K37" s="43"/>
      <c r="L37" s="43"/>
      <c r="M37" s="43"/>
      <c r="N37" s="43"/>
      <c r="O37" s="43"/>
      <c r="P37" s="43"/>
      <c r="Q37" s="44"/>
      <c r="R37" s="42"/>
      <c r="S37" s="43"/>
      <c r="T37" s="44"/>
      <c r="U37" s="43"/>
      <c r="V37" s="43"/>
      <c r="W37" s="44"/>
    </row>
    <row r="38" spans="2:23" ht="14.25">
      <c r="B38" s="45"/>
      <c r="C38" s="46"/>
      <c r="D38" s="19"/>
      <c r="E38" s="20"/>
      <c r="F38" s="20"/>
      <c r="G38" s="20"/>
      <c r="H38" s="20"/>
      <c r="I38" s="20"/>
      <c r="J38" s="20"/>
      <c r="K38" s="20"/>
      <c r="L38" s="20"/>
      <c r="M38" s="20"/>
      <c r="N38" s="20"/>
      <c r="O38" s="20"/>
      <c r="P38" s="20"/>
      <c r="Q38" s="23"/>
      <c r="R38" s="19"/>
      <c r="S38" s="20"/>
      <c r="T38" s="23"/>
      <c r="U38" s="20"/>
      <c r="V38" s="20"/>
      <c r="W38" s="23"/>
    </row>
    <row r="39" spans="2:23" ht="14.25">
      <c r="B39" s="45">
        <v>40</v>
      </c>
      <c r="C39" s="46">
        <v>1</v>
      </c>
      <c r="D39" s="19" t="s">
        <v>526</v>
      </c>
      <c r="E39" s="20"/>
      <c r="F39" s="20"/>
      <c r="G39" s="20"/>
      <c r="H39" s="20"/>
      <c r="I39" s="20"/>
      <c r="J39" s="20"/>
      <c r="K39" s="20"/>
      <c r="L39" s="20"/>
      <c r="M39" s="20"/>
      <c r="N39" s="20">
        <v>0.5</v>
      </c>
      <c r="O39" s="20"/>
      <c r="P39" s="20">
        <v>1</v>
      </c>
      <c r="Q39" s="23"/>
      <c r="R39" s="20"/>
      <c r="S39" s="20"/>
      <c r="T39" s="23"/>
      <c r="U39" s="20"/>
      <c r="V39" s="20"/>
      <c r="W39" s="23"/>
    </row>
    <row r="40" spans="2:23" ht="15">
      <c r="B40" s="45"/>
      <c r="C40" s="46"/>
      <c r="D40" s="19" t="s">
        <v>527</v>
      </c>
      <c r="E40" s="20"/>
      <c r="F40" s="20"/>
      <c r="G40" s="20"/>
      <c r="H40" s="20"/>
      <c r="I40" s="20"/>
      <c r="J40" s="20"/>
      <c r="K40" s="20"/>
      <c r="L40" s="20"/>
      <c r="M40" s="20"/>
      <c r="N40" s="20"/>
      <c r="O40" s="20"/>
      <c r="P40" s="20"/>
      <c r="Q40" s="23"/>
      <c r="R40" s="20"/>
      <c r="S40" s="20"/>
      <c r="T40" s="23"/>
      <c r="U40" s="20"/>
      <c r="V40" s="20"/>
      <c r="W40" s="23"/>
    </row>
    <row r="41" spans="2:23" ht="14.25">
      <c r="B41" s="40"/>
      <c r="C41" s="41"/>
      <c r="D41" s="42"/>
      <c r="E41" s="43"/>
      <c r="F41" s="43"/>
      <c r="G41" s="43"/>
      <c r="H41" s="43"/>
      <c r="I41" s="43"/>
      <c r="J41" s="43"/>
      <c r="K41" s="43"/>
      <c r="L41" s="43"/>
      <c r="M41" s="43"/>
      <c r="N41" s="43"/>
      <c r="O41" s="43"/>
      <c r="P41" s="43"/>
      <c r="Q41" s="44"/>
      <c r="R41" s="42"/>
      <c r="S41" s="43"/>
      <c r="T41" s="44"/>
      <c r="U41" s="43"/>
      <c r="V41" s="43"/>
      <c r="W41" s="44"/>
    </row>
    <row r="42" spans="2:23" ht="14.25">
      <c r="B42" s="40">
        <v>50</v>
      </c>
      <c r="C42" s="40">
        <v>47</v>
      </c>
      <c r="D42" s="43" t="s">
        <v>244</v>
      </c>
      <c r="E42" s="43"/>
      <c r="F42" s="43"/>
      <c r="G42" s="43"/>
      <c r="H42" s="43"/>
      <c r="I42" s="43"/>
      <c r="J42" s="43"/>
      <c r="K42" s="43"/>
      <c r="L42" s="43"/>
      <c r="M42" s="43"/>
      <c r="N42" s="43">
        <v>0</v>
      </c>
      <c r="O42" s="43"/>
      <c r="P42" s="43">
        <v>2</v>
      </c>
      <c r="Q42" s="43"/>
      <c r="R42" s="42"/>
      <c r="S42" s="43"/>
      <c r="T42" s="44"/>
      <c r="U42" s="43"/>
      <c r="V42" s="43"/>
      <c r="W42" s="44"/>
    </row>
    <row r="43" spans="2:23" ht="14.25">
      <c r="B43" s="40"/>
      <c r="C43" s="40"/>
      <c r="D43" s="43"/>
      <c r="E43" s="43"/>
      <c r="F43" s="43"/>
      <c r="G43" s="43"/>
      <c r="H43" s="43"/>
      <c r="I43" s="43"/>
      <c r="J43" s="43"/>
      <c r="K43" s="43"/>
      <c r="L43" s="43"/>
      <c r="M43" s="43"/>
      <c r="N43" s="43"/>
      <c r="O43" s="43"/>
      <c r="P43" s="43"/>
      <c r="Q43" s="43"/>
      <c r="R43" s="42"/>
      <c r="S43" s="43"/>
      <c r="T43" s="44"/>
      <c r="U43" s="43"/>
      <c r="V43" s="43"/>
      <c r="W43" s="44"/>
    </row>
    <row r="44" spans="2:23" ht="14.25">
      <c r="B44" s="45"/>
      <c r="C44" s="46"/>
      <c r="D44" s="19"/>
      <c r="E44" s="20"/>
      <c r="F44" s="20"/>
      <c r="G44" s="20"/>
      <c r="H44" s="20"/>
      <c r="I44" s="20"/>
      <c r="J44" s="20"/>
      <c r="K44" s="20"/>
      <c r="L44" s="20"/>
      <c r="M44" s="20"/>
      <c r="N44" s="20"/>
      <c r="O44" s="20"/>
      <c r="P44" s="20"/>
      <c r="Q44" s="23"/>
      <c r="R44" s="19"/>
      <c r="S44" s="20"/>
      <c r="T44" s="23"/>
      <c r="U44" s="20"/>
      <c r="V44" s="20"/>
      <c r="W44" s="23"/>
    </row>
    <row r="45" spans="2:23" ht="14.25">
      <c r="B45" s="45">
        <v>60</v>
      </c>
      <c r="C45" s="45">
        <v>60</v>
      </c>
      <c r="D45" s="20" t="s">
        <v>67</v>
      </c>
      <c r="E45" s="20"/>
      <c r="F45" s="20"/>
      <c r="G45" s="20"/>
      <c r="H45" s="20"/>
      <c r="I45" s="20"/>
      <c r="J45" s="20"/>
      <c r="K45" s="20"/>
      <c r="L45" s="20"/>
      <c r="M45" s="20"/>
      <c r="N45" s="20">
        <v>0</v>
      </c>
      <c r="O45" s="20"/>
      <c r="P45" s="20">
        <v>0</v>
      </c>
      <c r="Q45" s="23"/>
      <c r="R45" s="19"/>
      <c r="S45" s="20"/>
      <c r="T45" s="23"/>
      <c r="U45" s="20"/>
      <c r="V45" s="20"/>
      <c r="W45" s="23"/>
    </row>
    <row r="46" spans="2:23" ht="14.25">
      <c r="B46" s="45"/>
      <c r="C46" s="98"/>
      <c r="D46" s="20"/>
      <c r="E46" s="20"/>
      <c r="F46" s="20"/>
      <c r="G46" s="20"/>
      <c r="H46" s="20"/>
      <c r="I46" s="20"/>
      <c r="J46" s="20"/>
      <c r="K46" s="20"/>
      <c r="L46" s="20"/>
      <c r="M46" s="20"/>
      <c r="N46" s="20"/>
      <c r="O46" s="20"/>
      <c r="P46" s="20"/>
      <c r="Q46" s="23"/>
      <c r="R46" s="19"/>
      <c r="S46" s="20"/>
      <c r="T46" s="23"/>
      <c r="U46" s="20"/>
      <c r="V46" s="20"/>
      <c r="W46" s="23"/>
    </row>
    <row r="47" spans="2:23" ht="14.25">
      <c r="B47" s="40"/>
      <c r="C47" s="41"/>
      <c r="D47" s="42"/>
      <c r="E47" s="43"/>
      <c r="F47" s="43"/>
      <c r="G47" s="43"/>
      <c r="H47" s="43"/>
      <c r="I47" s="43"/>
      <c r="J47" s="43"/>
      <c r="K47" s="43"/>
      <c r="L47" s="43"/>
      <c r="M47" s="43"/>
      <c r="N47" s="43"/>
      <c r="O47" s="43"/>
      <c r="P47" s="43"/>
      <c r="Q47" s="44"/>
      <c r="R47" s="42"/>
      <c r="S47" s="43"/>
      <c r="T47" s="44"/>
      <c r="U47" s="43"/>
      <c r="V47" s="43"/>
      <c r="W47" s="44"/>
    </row>
    <row r="48" spans="2:23" ht="14.25">
      <c r="B48" s="40"/>
      <c r="C48" s="41"/>
      <c r="D48" s="42"/>
      <c r="E48" s="43"/>
      <c r="F48" s="43"/>
      <c r="G48" s="43"/>
      <c r="H48" s="43"/>
      <c r="I48" s="43"/>
      <c r="J48" s="43"/>
      <c r="K48" s="43"/>
      <c r="L48" s="43"/>
      <c r="M48" s="43"/>
      <c r="N48" s="43"/>
      <c r="O48" s="43"/>
      <c r="P48" s="43"/>
      <c r="Q48" s="44"/>
      <c r="R48" s="42"/>
      <c r="S48" s="43"/>
      <c r="T48" s="44"/>
      <c r="U48" s="43"/>
      <c r="V48" s="43"/>
      <c r="W48" s="44"/>
    </row>
    <row r="49" spans="2:23" ht="14.25">
      <c r="B49" s="40"/>
      <c r="C49" s="41"/>
      <c r="D49" s="42"/>
      <c r="E49" s="43"/>
      <c r="F49" s="43"/>
      <c r="G49" s="43"/>
      <c r="H49" s="43"/>
      <c r="I49" s="43"/>
      <c r="J49" s="43"/>
      <c r="K49" s="43"/>
      <c r="L49" s="43"/>
      <c r="M49" s="43"/>
      <c r="N49" s="43"/>
      <c r="O49" s="43"/>
      <c r="P49" s="43"/>
      <c r="Q49" s="44"/>
      <c r="R49" s="42"/>
      <c r="S49" s="43"/>
      <c r="T49" s="44"/>
      <c r="U49" s="43"/>
      <c r="V49" s="43"/>
      <c r="W49" s="44"/>
    </row>
    <row r="50" spans="2:23" ht="14.25">
      <c r="B50" s="45"/>
      <c r="C50" s="46"/>
      <c r="D50" s="19"/>
      <c r="E50" s="20"/>
      <c r="F50" s="20"/>
      <c r="G50" s="20"/>
      <c r="H50" s="20"/>
      <c r="I50" s="20"/>
      <c r="J50" s="20"/>
      <c r="K50" s="20"/>
      <c r="L50" s="20"/>
      <c r="M50" s="20"/>
      <c r="N50" s="20"/>
      <c r="O50" s="20"/>
      <c r="P50" s="20"/>
      <c r="Q50" s="23"/>
      <c r="R50" s="19"/>
      <c r="S50" s="20"/>
      <c r="T50" s="23"/>
      <c r="U50" s="20"/>
      <c r="V50" s="20"/>
      <c r="W50" s="23"/>
    </row>
    <row r="51" spans="2:23" ht="14.25">
      <c r="B51" s="45"/>
      <c r="C51" s="46"/>
      <c r="D51" s="19"/>
      <c r="E51" s="20"/>
      <c r="F51" s="20"/>
      <c r="G51" s="20"/>
      <c r="H51" s="20"/>
      <c r="I51" s="20"/>
      <c r="J51" s="20"/>
      <c r="K51" s="20"/>
      <c r="L51" s="20"/>
      <c r="M51" s="20"/>
      <c r="N51" s="20"/>
      <c r="O51" s="20"/>
      <c r="P51" s="20"/>
      <c r="Q51" s="23"/>
      <c r="R51" s="19"/>
      <c r="S51" s="20"/>
      <c r="T51" s="23"/>
      <c r="U51" s="20"/>
      <c r="V51" s="20"/>
      <c r="W51" s="23"/>
    </row>
    <row r="52" spans="2:23" ht="14.25">
      <c r="B52" s="45"/>
      <c r="C52" s="46"/>
      <c r="D52" s="19"/>
      <c r="E52" s="20"/>
      <c r="F52" s="20"/>
      <c r="G52" s="20"/>
      <c r="H52" s="20"/>
      <c r="I52" s="20"/>
      <c r="J52" s="20"/>
      <c r="K52" s="20"/>
      <c r="L52" s="20"/>
      <c r="M52" s="20"/>
      <c r="N52" s="20"/>
      <c r="O52" s="20"/>
      <c r="P52" s="20"/>
      <c r="Q52" s="23"/>
      <c r="R52" s="19"/>
      <c r="S52" s="20"/>
      <c r="T52" s="23"/>
      <c r="U52" s="20"/>
      <c r="V52" s="20"/>
      <c r="W52" s="23"/>
    </row>
    <row r="53" spans="2:23" ht="14.25">
      <c r="B53" s="40"/>
      <c r="C53" s="41"/>
      <c r="D53" s="42"/>
      <c r="E53" s="43"/>
      <c r="F53" s="43"/>
      <c r="G53" s="43"/>
      <c r="H53" s="43"/>
      <c r="I53" s="43"/>
      <c r="J53" s="43"/>
      <c r="K53" s="43"/>
      <c r="L53" s="43"/>
      <c r="M53" s="43"/>
      <c r="N53" s="43"/>
      <c r="O53" s="43"/>
      <c r="P53" s="43"/>
      <c r="Q53" s="44"/>
      <c r="R53" s="42"/>
      <c r="S53" s="43"/>
      <c r="T53" s="44"/>
      <c r="U53" s="43"/>
      <c r="V53" s="43"/>
      <c r="W53" s="44"/>
    </row>
    <row r="54" spans="2:23" ht="14.25">
      <c r="B54" s="40"/>
      <c r="C54" s="41"/>
      <c r="D54" s="42"/>
      <c r="E54" s="43"/>
      <c r="F54" s="43"/>
      <c r="G54" s="43"/>
      <c r="H54" s="43"/>
      <c r="I54" s="43"/>
      <c r="J54" s="43"/>
      <c r="K54" s="43"/>
      <c r="L54" s="43"/>
      <c r="M54" s="43"/>
      <c r="N54" s="43"/>
      <c r="O54" s="43"/>
      <c r="P54" s="43"/>
      <c r="Q54" s="44"/>
      <c r="R54" s="42"/>
      <c r="S54" s="43"/>
      <c r="T54" s="44"/>
      <c r="U54" s="43"/>
      <c r="V54" s="43"/>
      <c r="W54" s="44"/>
    </row>
    <row r="55" spans="2:23" ht="14.25">
      <c r="B55" s="40"/>
      <c r="C55" s="41"/>
      <c r="D55" s="42"/>
      <c r="E55" s="43"/>
      <c r="F55" s="43"/>
      <c r="G55" s="43"/>
      <c r="H55" s="43"/>
      <c r="I55" s="43"/>
      <c r="J55" s="43"/>
      <c r="K55" s="43"/>
      <c r="L55" s="43"/>
      <c r="M55" s="43"/>
      <c r="N55" s="43"/>
      <c r="O55" s="43"/>
      <c r="P55" s="43"/>
      <c r="Q55" s="44"/>
      <c r="R55" s="42"/>
      <c r="S55" s="43"/>
      <c r="T55" s="44"/>
      <c r="U55" s="43"/>
      <c r="V55" s="43"/>
      <c r="W55" s="44"/>
    </row>
    <row r="56" spans="2:23" ht="14.25">
      <c r="B56" s="45"/>
      <c r="C56" s="46"/>
      <c r="D56" s="19"/>
      <c r="E56" s="20"/>
      <c r="F56" s="20"/>
      <c r="G56" s="20"/>
      <c r="H56" s="20"/>
      <c r="I56" s="20"/>
      <c r="J56" s="20"/>
      <c r="K56" s="20"/>
      <c r="L56" s="20"/>
      <c r="M56" s="20"/>
      <c r="N56" s="20"/>
      <c r="O56" s="20"/>
      <c r="P56" s="20"/>
      <c r="Q56" s="23"/>
      <c r="R56" s="19"/>
      <c r="S56" s="20"/>
      <c r="T56" s="23"/>
      <c r="U56" s="20"/>
      <c r="V56" s="20"/>
      <c r="W56" s="23"/>
    </row>
    <row r="57" spans="2:23" ht="14.25">
      <c r="B57" s="45"/>
      <c r="C57" s="46"/>
      <c r="D57" s="19"/>
      <c r="E57" s="20"/>
      <c r="F57" s="20"/>
      <c r="G57" s="20"/>
      <c r="H57" s="20"/>
      <c r="I57" s="20"/>
      <c r="J57" s="20"/>
      <c r="K57" s="20"/>
      <c r="L57" s="20"/>
      <c r="M57" s="20"/>
      <c r="N57" s="20"/>
      <c r="O57" s="20"/>
      <c r="P57" s="20"/>
      <c r="Q57" s="23"/>
      <c r="R57" s="19"/>
      <c r="S57" s="20"/>
      <c r="T57" s="23"/>
      <c r="U57" s="20"/>
      <c r="V57" s="20"/>
      <c r="W57" s="23"/>
    </row>
    <row r="58" spans="2:23" ht="15" thickBot="1">
      <c r="B58" s="47"/>
      <c r="C58" s="48"/>
      <c r="D58" s="28"/>
      <c r="E58" s="29"/>
      <c r="F58" s="29"/>
      <c r="G58" s="29"/>
      <c r="H58" s="29"/>
      <c r="I58" s="29"/>
      <c r="J58" s="29"/>
      <c r="K58" s="29"/>
      <c r="L58" s="29"/>
      <c r="M58" s="49" t="s">
        <v>24</v>
      </c>
      <c r="N58" s="29">
        <f>SUM(N29:N56)</f>
        <v>1</v>
      </c>
      <c r="O58" s="29"/>
      <c r="P58" s="29">
        <f>SUM(P29:P56)</f>
        <v>11</v>
      </c>
      <c r="Q58" s="30"/>
      <c r="R58" s="28"/>
      <c r="S58" s="29"/>
      <c r="T58" s="30"/>
      <c r="U58" s="29"/>
      <c r="V58" s="29"/>
      <c r="W58" s="30"/>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Wong</dc:creator>
  <cp:keywords/>
  <dc:description/>
  <cp:lastModifiedBy>Kevin Mandeville</cp:lastModifiedBy>
  <cp:lastPrinted>2010-08-25T23:57:12Z</cp:lastPrinted>
  <dcterms:created xsi:type="dcterms:W3CDTF">2009-06-26T13:44:35Z</dcterms:created>
  <dcterms:modified xsi:type="dcterms:W3CDTF">2010-08-26T00:31:32Z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113154-00</vt:lpwstr>
  </property>
  <property fmtid="{D5CDD505-2E9C-101B-9397-08002B2CF9AE}" pid="3" name="Description">
    <vt:lpwstr>BOM</vt:lpwstr>
  </property>
  <property fmtid="{D5CDD505-2E9C-101B-9397-08002B2CF9AE}" pid="4" name="Revision">
    <vt:lpwstr>-</vt:lpwstr>
  </property>
  <property fmtid="{D5CDD505-2E9C-101B-9397-08002B2CF9AE}" pid="5" name="Author">
    <vt:lpwstr>RandyW</vt:lpwstr>
  </property>
  <property fmtid="{D5CDD505-2E9C-101B-9397-08002B2CF9AE}" pid="6" name="Project">
    <vt:lpwstr>113154-00</vt:lpwstr>
  </property>
  <property fmtid="{D5CDD505-2E9C-101B-9397-08002B2CF9AE}" pid="7" name="Status">
    <vt:lpwstr/>
  </property>
  <property fmtid="{D5CDD505-2E9C-101B-9397-08002B2CF9AE}" pid="8" name="FinishSize">
    <vt:lpwstr/>
  </property>
  <property fmtid="{D5CDD505-2E9C-101B-9397-08002B2CF9AE}" pid="9" name="PDMWorksDCI">
    <vt:lpwstr>1256071138</vt:lpwstr>
  </property>
</Properties>
</file>