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95" yWindow="-45" windowWidth="18735" windowHeight="12960"/>
  </bookViews>
  <sheets>
    <sheet name="Staging building" sheetId="1" r:id="rId1"/>
    <sheet name="LVEA" sheetId="2" r:id="rId2"/>
  </sheets>
  <calcPr calcId="125725" concurrentCalc="0"/>
</workbook>
</file>

<file path=xl/calcChain.xml><?xml version="1.0" encoding="utf-8"?>
<calcChain xmlns="http://schemas.openxmlformats.org/spreadsheetml/2006/main">
  <c r="M214" i="1"/>
  <c r="M213"/>
  <c r="M212"/>
  <c r="L212"/>
  <c r="M211"/>
  <c r="M210"/>
  <c r="M209"/>
  <c r="L209"/>
  <c r="M208"/>
  <c r="M207"/>
  <c r="M206"/>
  <c r="L206"/>
  <c r="M205"/>
  <c r="M204"/>
  <c r="M203"/>
  <c r="L203"/>
  <c r="H305"/>
  <c r="J141"/>
  <c r="E141"/>
  <c r="K141"/>
  <c r="M145"/>
  <c r="M148"/>
  <c r="N153"/>
  <c r="M143"/>
  <c r="Q141"/>
  <c r="R141"/>
  <c r="J142"/>
  <c r="E142"/>
  <c r="K142"/>
  <c r="Q142"/>
  <c r="R142"/>
  <c r="J140"/>
  <c r="E140"/>
  <c r="K140"/>
  <c r="Q140"/>
  <c r="R140"/>
  <c r="E111"/>
  <c r="D111"/>
  <c r="AF140"/>
  <c r="AA140"/>
  <c r="AG140"/>
  <c r="AF141"/>
  <c r="AA141"/>
  <c r="AG141"/>
  <c r="AF142"/>
  <c r="AA142"/>
  <c r="AG142"/>
  <c r="AG143"/>
  <c r="AI143"/>
  <c r="AG144"/>
  <c r="AG145"/>
  <c r="AG146"/>
  <c r="AI145"/>
  <c r="K143"/>
  <c r="K144"/>
  <c r="K145"/>
  <c r="K146"/>
  <c r="I150"/>
  <c r="K150"/>
  <c r="I151"/>
  <c r="K151"/>
  <c r="I152"/>
  <c r="K152"/>
  <c r="K153"/>
  <c r="K154"/>
  <c r="K155"/>
  <c r="K157"/>
  <c r="E151"/>
  <c r="E152"/>
  <c r="E150"/>
  <c r="E302"/>
  <c r="E299"/>
  <c r="E297"/>
  <c r="E298"/>
  <c r="E300"/>
  <c r="E301"/>
  <c r="E303"/>
  <c r="E304"/>
  <c r="E305"/>
  <c r="I335"/>
  <c r="I337"/>
  <c r="L153"/>
  <c r="L154"/>
  <c r="L155"/>
  <c r="F463" i="2"/>
  <c r="F464"/>
  <c r="F462"/>
  <c r="F460"/>
  <c r="F461"/>
  <c r="F459"/>
  <c r="F457"/>
  <c r="F458"/>
  <c r="F456"/>
  <c r="F455"/>
  <c r="F453"/>
  <c r="E456"/>
  <c r="E459"/>
  <c r="E462"/>
  <c r="E453"/>
  <c r="E408"/>
  <c r="C312" i="1"/>
  <c r="E312"/>
  <c r="D312"/>
  <c r="C313"/>
  <c r="E313"/>
  <c r="D313"/>
  <c r="E314"/>
  <c r="D314"/>
  <c r="E315"/>
  <c r="D315"/>
  <c r="E316"/>
  <c r="D316"/>
  <c r="C311"/>
  <c r="E311"/>
  <c r="D311"/>
  <c r="E414" i="2"/>
  <c r="E409"/>
  <c r="E410"/>
  <c r="E411"/>
  <c r="E412"/>
  <c r="E413"/>
  <c r="D405"/>
  <c r="D401"/>
  <c r="D402"/>
  <c r="D403"/>
  <c r="D404"/>
  <c r="D400"/>
  <c r="C405"/>
  <c r="C431"/>
  <c r="D430"/>
  <c r="D429"/>
  <c r="D428"/>
  <c r="D427"/>
  <c r="D426"/>
  <c r="D425"/>
  <c r="D431"/>
  <c r="D413"/>
  <c r="D412"/>
  <c r="D411"/>
  <c r="D410"/>
  <c r="D409"/>
  <c r="D408"/>
  <c r="D414"/>
  <c r="F293"/>
  <c r="G293"/>
  <c r="G292"/>
  <c r="F292"/>
  <c r="G291"/>
  <c r="F291"/>
  <c r="G290"/>
  <c r="F290"/>
  <c r="F289"/>
  <c r="G289"/>
  <c r="F288"/>
  <c r="G288"/>
  <c r="F287"/>
  <c r="G287"/>
  <c r="G286"/>
  <c r="F286"/>
  <c r="F285"/>
  <c r="G285"/>
  <c r="F284"/>
  <c r="G284"/>
  <c r="G283"/>
  <c r="F283"/>
  <c r="G282"/>
  <c r="F282"/>
  <c r="E368"/>
  <c r="F368"/>
  <c r="E367"/>
  <c r="F367"/>
  <c r="E366"/>
  <c r="F366"/>
  <c r="F365"/>
  <c r="E365"/>
  <c r="E364"/>
  <c r="F364"/>
  <c r="E363"/>
  <c r="F363"/>
  <c r="E362"/>
  <c r="F362"/>
  <c r="F361"/>
  <c r="E361"/>
  <c r="E360"/>
  <c r="F360"/>
  <c r="E359"/>
  <c r="F359"/>
  <c r="E358"/>
  <c r="F358"/>
  <c r="F357"/>
  <c r="E357"/>
  <c r="C261"/>
  <c r="D260"/>
  <c r="D259"/>
  <c r="D258"/>
  <c r="D257"/>
  <c r="D256"/>
  <c r="D255"/>
  <c r="D261"/>
  <c r="D243"/>
  <c r="D242"/>
  <c r="D241"/>
  <c r="D240"/>
  <c r="D239"/>
  <c r="D238"/>
  <c r="D244"/>
  <c r="F144"/>
  <c r="E142"/>
  <c r="F142"/>
  <c r="E139"/>
  <c r="F139"/>
  <c r="F138"/>
  <c r="E136"/>
  <c r="F136"/>
  <c r="F135"/>
  <c r="E133"/>
  <c r="F133"/>
  <c r="F128"/>
  <c r="E128"/>
  <c r="E127"/>
  <c r="F127"/>
  <c r="F126"/>
  <c r="E126"/>
  <c r="E125"/>
  <c r="F125"/>
  <c r="F124"/>
  <c r="E124"/>
  <c r="E123"/>
  <c r="F123"/>
  <c r="F122"/>
  <c r="E122"/>
  <c r="E121"/>
  <c r="F121"/>
  <c r="F120"/>
  <c r="E120"/>
  <c r="E119"/>
  <c r="F119"/>
  <c r="F118"/>
  <c r="E118"/>
  <c r="E117"/>
  <c r="F117"/>
  <c r="G101"/>
  <c r="F101"/>
  <c r="F100"/>
  <c r="G100"/>
  <c r="G99"/>
  <c r="F99"/>
  <c r="F98"/>
  <c r="G98"/>
  <c r="G97"/>
  <c r="F97"/>
  <c r="F96"/>
  <c r="G96"/>
  <c r="G95"/>
  <c r="F95"/>
  <c r="F94"/>
  <c r="G94"/>
  <c r="G93"/>
  <c r="F93"/>
  <c r="F92"/>
  <c r="G92"/>
  <c r="G91"/>
  <c r="F91"/>
  <c r="F90"/>
  <c r="G90"/>
  <c r="A352" i="1"/>
  <c r="B342"/>
  <c r="B335"/>
  <c r="C334"/>
  <c r="F334"/>
  <c r="C333"/>
  <c r="F333"/>
  <c r="C332"/>
  <c r="F332"/>
  <c r="C331"/>
  <c r="F331"/>
  <c r="C330"/>
  <c r="F330"/>
  <c r="C329"/>
  <c r="C335"/>
  <c r="F335"/>
  <c r="F329"/>
  <c r="F321"/>
  <c r="E317"/>
  <c r="E212"/>
  <c r="F212"/>
  <c r="F213"/>
  <c r="E209"/>
  <c r="F211"/>
  <c r="F210"/>
  <c r="F209"/>
  <c r="E206"/>
  <c r="F206"/>
  <c r="F207"/>
  <c r="E203"/>
  <c r="F205"/>
  <c r="F204"/>
  <c r="F203"/>
  <c r="B199"/>
  <c r="B198"/>
  <c r="B193"/>
  <c r="F186"/>
  <c r="J186"/>
  <c r="K186"/>
  <c r="K189"/>
  <c r="K190"/>
  <c r="B195"/>
  <c r="B196"/>
  <c r="J188"/>
  <c r="F188"/>
  <c r="K188"/>
  <c r="F187"/>
  <c r="J187"/>
  <c r="K187"/>
  <c r="B178"/>
  <c r="F174"/>
  <c r="J174"/>
  <c r="K174"/>
  <c r="J173"/>
  <c r="F173"/>
  <c r="K173"/>
  <c r="J172"/>
  <c r="F172"/>
  <c r="K172"/>
  <c r="C166"/>
  <c r="D166"/>
  <c r="E166"/>
  <c r="C164"/>
  <c r="D164"/>
  <c r="E164"/>
  <c r="E167"/>
  <c r="C160"/>
  <c r="D160"/>
  <c r="E160"/>
  <c r="C159"/>
  <c r="D159"/>
  <c r="E159"/>
  <c r="C158"/>
  <c r="D158"/>
  <c r="E158"/>
  <c r="E161"/>
  <c r="N155"/>
  <c r="E134"/>
  <c r="F134"/>
  <c r="E133"/>
  <c r="F133"/>
  <c r="E132"/>
  <c r="F132"/>
  <c r="E131"/>
  <c r="F131"/>
  <c r="E130"/>
  <c r="F130"/>
  <c r="E129"/>
  <c r="F129"/>
  <c r="E128"/>
  <c r="F128"/>
  <c r="E127"/>
  <c r="F127"/>
  <c r="E126"/>
  <c r="F126"/>
  <c r="E125"/>
  <c r="F125"/>
  <c r="E124"/>
  <c r="F124"/>
  <c r="E123"/>
  <c r="F123"/>
  <c r="E112"/>
  <c r="D112"/>
  <c r="E110"/>
  <c r="D110"/>
  <c r="E109"/>
  <c r="D109"/>
  <c r="E108"/>
  <c r="D108"/>
  <c r="E107"/>
  <c r="D107"/>
  <c r="F100"/>
  <c r="G100"/>
  <c r="F99"/>
  <c r="G99"/>
  <c r="F98"/>
  <c r="G98"/>
  <c r="F97"/>
  <c r="G97"/>
  <c r="F96"/>
  <c r="G96"/>
  <c r="F95"/>
  <c r="G95"/>
  <c r="F94"/>
  <c r="G94"/>
  <c r="F93"/>
  <c r="G93"/>
  <c r="F92"/>
  <c r="G92"/>
  <c r="F91"/>
  <c r="G91"/>
  <c r="F90"/>
  <c r="G90"/>
  <c r="F89"/>
  <c r="G89"/>
  <c r="K175"/>
  <c r="K176"/>
  <c r="B180"/>
  <c r="B181"/>
  <c r="C165"/>
  <c r="D165"/>
  <c r="E165"/>
  <c r="B344"/>
  <c r="F137" i="2"/>
  <c r="F143"/>
  <c r="D317" i="1"/>
  <c r="F208"/>
  <c r="F214"/>
  <c r="B343"/>
  <c r="F141" i="2"/>
  <c r="F134"/>
  <c r="F140"/>
</calcChain>
</file>

<file path=xl/sharedStrings.xml><?xml version="1.0" encoding="utf-8"?>
<sst xmlns="http://schemas.openxmlformats.org/spreadsheetml/2006/main" count="1655" uniqueCount="594">
  <si>
    <t>Electronics Inventory</t>
  </si>
  <si>
    <t>Hardware</t>
  </si>
  <si>
    <t>Ligo reference</t>
  </si>
  <si>
    <t>S/N</t>
  </si>
  <si>
    <t>Interface Chassis - Corner 1</t>
  </si>
  <si>
    <t>D1002432</t>
  </si>
  <si>
    <t>S1102222</t>
  </si>
  <si>
    <t>Interface Chassis - Corner 2</t>
  </si>
  <si>
    <t>S1102224</t>
  </si>
  <si>
    <t>Interface Chassis - Corner 3</t>
  </si>
  <si>
    <t>S1102218</t>
  </si>
  <si>
    <t>Anti-Alliasing Chassis - Corner 1</t>
  </si>
  <si>
    <t>D1002693</t>
  </si>
  <si>
    <t>S1102693</t>
  </si>
  <si>
    <t>Anti-Alliasing Chassis - Corner 2</t>
  </si>
  <si>
    <t>S1102694</t>
  </si>
  <si>
    <t>Anti-Alliasing Chassis - Corner 3</t>
  </si>
  <si>
    <t>S1102679</t>
  </si>
  <si>
    <t>Anti-image Chassis</t>
  </si>
  <si>
    <t>D070081</t>
  </si>
  <si>
    <t>S1000250</t>
  </si>
  <si>
    <t>Binary Input Chassis</t>
  </si>
  <si>
    <t>D1001726</t>
  </si>
  <si>
    <t>S1101309</t>
  </si>
  <si>
    <t>S1101300</t>
  </si>
  <si>
    <t>Binary Output Chassis</t>
  </si>
  <si>
    <t>D1001728</t>
  </si>
  <si>
    <t>S1101347</t>
  </si>
  <si>
    <t>T240 Interface - Corner 1</t>
  </si>
  <si>
    <t>D1002694</t>
  </si>
  <si>
    <t>S1101840</t>
  </si>
  <si>
    <t>T240 Interface - Corner 2</t>
  </si>
  <si>
    <t>S1101838</t>
  </si>
  <si>
    <t>T240 Interface - Corner 3</t>
  </si>
  <si>
    <t>S1101839</t>
  </si>
  <si>
    <t>I/O Chassis</t>
  </si>
  <si>
    <t>n/a</t>
  </si>
  <si>
    <t>DTSFE0</t>
  </si>
  <si>
    <t>Coil driver Pod 1</t>
  </si>
  <si>
    <t>D0902744</t>
  </si>
  <si>
    <t>S1000266</t>
  </si>
  <si>
    <t>Coil driver Pod 2</t>
  </si>
  <si>
    <t>S1000269</t>
  </si>
  <si>
    <t>Coil driver Pod 3</t>
  </si>
  <si>
    <t>S1102692</t>
  </si>
  <si>
    <t>Actuator</t>
  </si>
  <si>
    <t>Coil driver name</t>
  </si>
  <si>
    <t>Resistance (Ω)</t>
  </si>
  <si>
    <t>Stage 1</t>
  </si>
  <si>
    <t>Stage 2</t>
  </si>
  <si>
    <t>ST1 H1</t>
  </si>
  <si>
    <t>Coil1 Coarse 1</t>
  </si>
  <si>
    <t>Actuator S/N</t>
  </si>
  <si>
    <t>ST2 H1</t>
  </si>
  <si>
    <t>Coil 1 Fine 1</t>
  </si>
  <si>
    <t>ST1 - H1</t>
  </si>
  <si>
    <t>24</t>
  </si>
  <si>
    <t>ST2 - H1</t>
  </si>
  <si>
    <t>61</t>
  </si>
  <si>
    <t>ST2 V1</t>
  </si>
  <si>
    <t>Coil 1 Fine 2</t>
  </si>
  <si>
    <t>ST1 - H2</t>
  </si>
  <si>
    <t>41</t>
  </si>
  <si>
    <t>ST2 - H2</t>
  </si>
  <si>
    <t>57</t>
  </si>
  <si>
    <t>ST1 V1</t>
  </si>
  <si>
    <t>Coil 1 Coarse 2</t>
  </si>
  <si>
    <t>ST1 - H3</t>
  </si>
  <si>
    <t>42</t>
  </si>
  <si>
    <t>ST2 - H3</t>
  </si>
  <si>
    <t>62</t>
  </si>
  <si>
    <t>ST1 H2</t>
  </si>
  <si>
    <t>Coil 2 Coarse 2</t>
  </si>
  <si>
    <t>ST1 - V1</t>
  </si>
  <si>
    <t>43</t>
  </si>
  <si>
    <t>ST2 - V1</t>
  </si>
  <si>
    <t>85</t>
  </si>
  <si>
    <t>ST2 H2</t>
  </si>
  <si>
    <t>Coil 2 Fine 1</t>
  </si>
  <si>
    <t>ST1 - V2</t>
  </si>
  <si>
    <t>56</t>
  </si>
  <si>
    <t>ST2 - V2</t>
  </si>
  <si>
    <t>90</t>
  </si>
  <si>
    <t>ST2 V2</t>
  </si>
  <si>
    <t>Coil 2 Fine 2</t>
  </si>
  <si>
    <t>ST1 - V3</t>
  </si>
  <si>
    <t>63</t>
  </si>
  <si>
    <t>ST2 - V3</t>
  </si>
  <si>
    <t>68</t>
  </si>
  <si>
    <t>ST1 V2</t>
  </si>
  <si>
    <t>ST1 H3</t>
  </si>
  <si>
    <t>Coil 3 Coarse 1</t>
  </si>
  <si>
    <t>Step  2 - Sensors inventory</t>
  </si>
  <si>
    <t>ST2 H3</t>
  </si>
  <si>
    <t>Coil 3 Fine 1</t>
  </si>
  <si>
    <t>ST2 V3</t>
  </si>
  <si>
    <t>Coil 3 Fine 2</t>
  </si>
  <si>
    <t>2822-V</t>
  </si>
  <si>
    <t>CPS Stage 1</t>
  </si>
  <si>
    <t>CPS S/N</t>
  </si>
  <si>
    <t>ADE board serial #</t>
  </si>
  <si>
    <t>ST1 V3</t>
  </si>
  <si>
    <t>Coil 3 Coarse 2</t>
  </si>
  <si>
    <t>12504</t>
  </si>
  <si>
    <t>12949</t>
  </si>
  <si>
    <t>H1</t>
  </si>
  <si>
    <t>H2</t>
  </si>
  <si>
    <t>H3</t>
  </si>
  <si>
    <t>V1</t>
  </si>
  <si>
    <t>12512</t>
  </si>
  <si>
    <t>12952</t>
  </si>
  <si>
    <t>V2</t>
  </si>
  <si>
    <t>12381</t>
  </si>
  <si>
    <t>12950</t>
  </si>
  <si>
    <t>V3</t>
  </si>
  <si>
    <t>12378</t>
  </si>
  <si>
    <t>12940</t>
  </si>
  <si>
    <t>12413</t>
  </si>
  <si>
    <t>12939</t>
  </si>
  <si>
    <t>CPS Stage 2</t>
  </si>
  <si>
    <t>12423</t>
  </si>
  <si>
    <t>12938</t>
  </si>
  <si>
    <t>Geophones GS13</t>
  </si>
  <si>
    <t>Serial Number</t>
  </si>
  <si>
    <t>POD</t>
  </si>
  <si>
    <t>Geophones L4C</t>
  </si>
  <si>
    <t>Geophones T240</t>
  </si>
  <si>
    <t>Stage 0-1</t>
  </si>
  <si>
    <t>Stage 1-2</t>
  </si>
  <si>
    <t>Lockers</t>
  </si>
  <si>
    <t>Shim thickness (mil)</t>
  </si>
  <si>
    <t>Corner 1</t>
  </si>
  <si>
    <t>0.127"</t>
  </si>
  <si>
    <t>0.126"</t>
  </si>
  <si>
    <t>Corner 2</t>
  </si>
  <si>
    <t>0.125"</t>
  </si>
  <si>
    <t>0.122"</t>
  </si>
  <si>
    <t>Corner 3</t>
  </si>
  <si>
    <t>0.130"</t>
  </si>
  <si>
    <t>D.I at Lockers</t>
  </si>
  <si>
    <t>Dial indicators V</t>
  </si>
  <si>
    <t>Dial indicators H</t>
  </si>
  <si>
    <t>A</t>
  </si>
  <si>
    <t>B</t>
  </si>
  <si>
    <t>C</t>
  </si>
  <si>
    <t>Table locked</t>
  </si>
  <si>
    <t>Table unlocked</t>
  </si>
  <si>
    <t>Difference locked - unlocked</t>
  </si>
  <si>
    <t>Sensors</t>
  </si>
  <si>
    <t>Offset (Mean)</t>
  </si>
  <si>
    <t>Std deviation</t>
  </si>
  <si>
    <t>mil</t>
  </si>
  <si>
    <t>Push in positive direction</t>
  </si>
  <si>
    <t>Push in negative direction</t>
  </si>
  <si>
    <t>Mil</t>
  </si>
  <si>
    <t>Railing</t>
  </si>
  <si>
    <t>Actuator Gap Check</t>
  </si>
  <si>
    <t>Sensor readout (counts)</t>
  </si>
  <si>
    <t>Negative drive</t>
  </si>
  <si>
    <t>no drive</t>
  </si>
  <si>
    <t>Positive drive</t>
  </si>
  <si>
    <t>Amplitude count</t>
  </si>
  <si>
    <t>Average</t>
  </si>
  <si>
    <t>Calibration check on stage 2 + first blade stiffnes measurements</t>
  </si>
  <si>
    <t>ST1 locked - ST2 unlocked</t>
  </si>
  <si>
    <t>No load</t>
  </si>
  <si>
    <t>Diff</t>
  </si>
  <si>
    <t>3x5Kg</t>
  </si>
  <si>
    <t>count</t>
  </si>
  <si>
    <t>Cout/mil</t>
  </si>
  <si>
    <t>lb/in</t>
  </si>
  <si>
    <t>Ct/m</t>
  </si>
  <si>
    <t>%</t>
  </si>
  <si>
    <t>Reference value stage 2</t>
  </si>
  <si>
    <t>Ct/mil</t>
  </si>
  <si>
    <t>ST1 unlocked - ST2 locked</t>
  </si>
  <si>
    <t>Load 30Kg</t>
  </si>
  <si>
    <t>Diff 1</t>
  </si>
  <si>
    <t>Diff 2</t>
  </si>
  <si>
    <t>Reference value stage 1</t>
  </si>
  <si>
    <t>KN/m</t>
  </si>
  <si>
    <t>Mean diff (counts)</t>
  </si>
  <si>
    <t>Mean diff m</t>
  </si>
  <si>
    <t>K (N/m)</t>
  </si>
  <si>
    <t>Average (N/m)</t>
  </si>
  <si>
    <t>Second Measurements</t>
  </si>
  <si>
    <t>Unloaded</t>
  </si>
  <si>
    <t>Loaded</t>
  </si>
  <si>
    <t>Meas 1</t>
  </si>
  <si>
    <t>Meas 2</t>
  </si>
  <si>
    <t>Meas 3</t>
  </si>
  <si>
    <t>Mass</t>
  </si>
  <si>
    <t>g</t>
  </si>
  <si>
    <t>lb</t>
  </si>
  <si>
    <t>K</t>
  </si>
  <si>
    <t>Error with nominal</t>
  </si>
  <si>
    <t>Stage1</t>
  </si>
  <si>
    <t>Stage 1 - Platform move for 32K counts</t>
  </si>
  <si>
    <t>coef*U/(K*R)</t>
  </si>
  <si>
    <t>Stage 2 - Platform move for 32K counts</t>
  </si>
  <si>
    <t>Slope</t>
  </si>
  <si>
    <t>Offset</t>
  </si>
  <si>
    <t>Average slope</t>
  </si>
  <si>
    <t>Variation from
average(%)</t>
  </si>
  <si>
    <t>Pressure (count)</t>
  </si>
  <si>
    <t>Day 1</t>
  </si>
  <si>
    <t>Day 2</t>
  </si>
  <si>
    <t>Day 3</t>
  </si>
  <si>
    <t>Day 4</t>
  </si>
  <si>
    <t>L4C - H1</t>
  </si>
  <si>
    <t>L4C - H2</t>
  </si>
  <si>
    <t>L4C - H3</t>
  </si>
  <si>
    <t>L4C - V1</t>
  </si>
  <si>
    <t>L4C - V2</t>
  </si>
  <si>
    <t>L4C - V3</t>
  </si>
  <si>
    <t>GS13 - H1</t>
  </si>
  <si>
    <t>GS13 - H2</t>
  </si>
  <si>
    <t>GS13 - H3</t>
  </si>
  <si>
    <t>GS13 - V1</t>
  </si>
  <si>
    <t>GS13 - V2</t>
  </si>
  <si>
    <t>GS13 - V3</t>
  </si>
  <si>
    <t>T240 - 1</t>
  </si>
  <si>
    <t>T240 - 2</t>
  </si>
  <si>
    <t>T240 - 3</t>
  </si>
  <si>
    <t>Test Local drive</t>
  </si>
  <si>
    <t>Actuators</t>
  </si>
  <si>
    <t>Refrence table</t>
  </si>
  <si>
    <t>Test Cartesian drive</t>
  </si>
  <si>
    <t>ST1 - X</t>
  </si>
  <si>
    <t>ST1 - Y</t>
  </si>
  <si>
    <t>ST1 - Z</t>
  </si>
  <si>
    <t>ST1 - RY</t>
  </si>
  <si>
    <t>ST1 - RZ</t>
  </si>
  <si>
    <t>ST1 - RX</t>
  </si>
  <si>
    <t>ST2 - X</t>
  </si>
  <si>
    <t>ST2 - Y</t>
  </si>
  <si>
    <t>ST2 - Z</t>
  </si>
  <si>
    <t>ST2 - RY</t>
  </si>
  <si>
    <t>ST2 - RZ</t>
  </si>
  <si>
    <t>ST2 - RX</t>
  </si>
  <si>
    <t>Mass Budget</t>
  </si>
  <si>
    <t>Quantity</t>
  </si>
  <si>
    <t>Weight</t>
  </si>
  <si>
    <t>Unit</t>
  </si>
  <si>
    <t>Kg</t>
  </si>
  <si>
    <t>1 type 4</t>
  </si>
  <si>
    <t>1type 3</t>
  </si>
  <si>
    <t>2 type 2 + 1 type 3</t>
  </si>
  <si>
    <t>Weight (Kg)</t>
  </si>
  <si>
    <t>Total Weight(lb)</t>
  </si>
  <si>
    <t>Total Weight(Kg)</t>
  </si>
  <si>
    <t>Total :</t>
  </si>
  <si>
    <t>D0902612</t>
  </si>
  <si>
    <t>D0902614</t>
  </si>
  <si>
    <t>D0902615</t>
  </si>
  <si>
    <t>Location</t>
  </si>
  <si>
    <t>Weight (lb)</t>
  </si>
  <si>
    <t>C1-1</t>
  </si>
  <si>
    <t>C1-2</t>
  </si>
  <si>
    <t>C2-1</t>
  </si>
  <si>
    <t>C2-2</t>
  </si>
  <si>
    <t>C3-1</t>
  </si>
  <si>
    <t>C3-2</t>
  </si>
  <si>
    <t>Total</t>
  </si>
  <si>
    <t>Density (ASI 304)</t>
  </si>
  <si>
    <t>lb/in3</t>
  </si>
  <si>
    <t>Surface</t>
  </si>
  <si>
    <t>Thickness</t>
  </si>
  <si>
    <t>Mass(lb)</t>
  </si>
  <si>
    <t>D0902616-1</t>
  </si>
  <si>
    <t>D0902616-2</t>
  </si>
  <si>
    <t>D0902616-3</t>
  </si>
  <si>
    <t>D0902616-4</t>
  </si>
  <si>
    <t>D0902616-5</t>
  </si>
  <si>
    <t>BSC-ISI</t>
  </si>
  <si>
    <t>LVEA</t>
  </si>
  <si>
    <t>First test without ITMY and FMY</t>
  </si>
  <si>
    <t>Rack #</t>
  </si>
  <si>
    <t>Interface Chassis Pod 1</t>
  </si>
  <si>
    <t>S1102228</t>
  </si>
  <si>
    <t>Interface Chassis Pod 2</t>
  </si>
  <si>
    <t>D1002433</t>
  </si>
  <si>
    <t>S1102230</t>
  </si>
  <si>
    <t>Interface Chassis Pod 3</t>
  </si>
  <si>
    <t>D1002434</t>
  </si>
  <si>
    <t>S1102229</t>
  </si>
  <si>
    <t>Anti-alliasing Chassis</t>
  </si>
  <si>
    <t>S1103404</t>
  </si>
  <si>
    <t>S1103405</t>
  </si>
  <si>
    <t>S1103402</t>
  </si>
  <si>
    <t>S1101284</t>
  </si>
  <si>
    <t>S1101280</t>
  </si>
  <si>
    <t>S1101319</t>
  </si>
  <si>
    <t>T240 Interface Pod 1</t>
  </si>
  <si>
    <t>S1103177</t>
  </si>
  <si>
    <t>T240 Interface Pod 2</t>
  </si>
  <si>
    <t>S1103181</t>
  </si>
  <si>
    <t>T240 Interface Pod 3</t>
  </si>
  <si>
    <t>S1103180</t>
  </si>
  <si>
    <t>D1000305</t>
  </si>
  <si>
    <t>S1103502</t>
  </si>
  <si>
    <t>S1103564</t>
  </si>
  <si>
    <t>S1103563</t>
  </si>
  <si>
    <t>S1103356</t>
  </si>
  <si>
    <t>Long cables</t>
  </si>
  <si>
    <t>Resistance</t>
  </si>
  <si>
    <t>Invoice</t>
  </si>
  <si>
    <t>Gauge</t>
  </si>
  <si>
    <t>Probe</t>
  </si>
  <si>
    <t>Master/Slave</t>
  </si>
  <si>
    <t>Phase</t>
  </si>
  <si>
    <t>ST1-H1</t>
  </si>
  <si>
    <t>8800</t>
  </si>
  <si>
    <t>Slave</t>
  </si>
  <si>
    <t>ST1-H2</t>
  </si>
  <si>
    <t>12305</t>
  </si>
  <si>
    <t>ST1-H3</t>
  </si>
  <si>
    <t>ST1-V1</t>
  </si>
  <si>
    <t>12312</t>
  </si>
  <si>
    <t>Master</t>
  </si>
  <si>
    <t>ST1-V2</t>
  </si>
  <si>
    <t>12307</t>
  </si>
  <si>
    <t>ST1-V3</t>
  </si>
  <si>
    <t>12416</t>
  </si>
  <si>
    <t>ST2-H1</t>
  </si>
  <si>
    <t>12380</t>
  </si>
  <si>
    <t>ST2-H2</t>
  </si>
  <si>
    <t>ST2-H3</t>
  </si>
  <si>
    <t>ST2-V1</t>
  </si>
  <si>
    <t>ST2-V2</t>
  </si>
  <si>
    <t>ST2-V3</t>
  </si>
  <si>
    <t>12373</t>
  </si>
  <si>
    <t>Not noted at LLO</t>
  </si>
  <si>
    <t>location T240</t>
  </si>
  <si>
    <t>Cleaning status</t>
  </si>
  <si>
    <t>Comments</t>
  </si>
  <si>
    <t>Class A</t>
  </si>
  <si>
    <t>Initially installed - POD 12 - S/N 138 - Replacement on September 30, 2011</t>
  </si>
  <si>
    <t>Initially installed - POD 26 - S/N 133 - Replacement on September 30, 2011</t>
  </si>
  <si>
    <t>Initially installed - POD 36 - S/N 109 - Replacement on September 30, 2011</t>
  </si>
  <si>
    <t>Stage 0-1 Corner 2</t>
  </si>
  <si>
    <t>POD 3</t>
  </si>
  <si>
    <t>Anti image pin #</t>
  </si>
  <si>
    <t>Cable #</t>
  </si>
  <si>
    <t>Resistance (Ohm)</t>
  </si>
  <si>
    <t>CD Voltage
for 1000 cts offset</t>
  </si>
  <si>
    <t>ITMY and FMY installed</t>
  </si>
  <si>
    <t>Measurement on November 6, 2011</t>
  </si>
  <si>
    <t>Gain</t>
  </si>
  <si>
    <t>ST1 ACT H1</t>
  </si>
  <si>
    <t>ST1 ACT H2</t>
  </si>
  <si>
    <t>ST1 ACT H3</t>
  </si>
  <si>
    <t>ST1 ACT V1</t>
  </si>
  <si>
    <t>ST1 ACT V2</t>
  </si>
  <si>
    <t>ST1 ACT V3</t>
  </si>
  <si>
    <t>ST2 ACT H1</t>
  </si>
  <si>
    <t>ST2 ACT H2</t>
  </si>
  <si>
    <t>ST2 ACT H3</t>
  </si>
  <si>
    <t>ST2 ACT V1</t>
  </si>
  <si>
    <t>ST2 ACT V2</t>
  </si>
  <si>
    <t>ST2 ACT V3</t>
  </si>
  <si>
    <t>LHO_ISI_BSC8_Offset_Local_Drive_20111206</t>
  </si>
  <si>
    <t>LHO_ISI_BSC8_Offset_Cartesian_Drive_20111206</t>
  </si>
  <si>
    <t>ST1 – RX</t>
  </si>
  <si>
    <t>ST2 – RX</t>
  </si>
  <si>
    <t>Range of motion</t>
  </si>
  <si>
    <t>LHO_ISI_BSC8_Range_Of_Motion_20111206</t>
  </si>
  <si>
    <t>Pressure Sensor</t>
  </si>
  <si>
    <t>LHO_ISI_BSC8_Pressure_Sensors_Check_20111206</t>
  </si>
  <si>
    <t>Pressure (counts)</t>
  </si>
  <si>
    <t>ST1-L4C-D</t>
  </si>
  <si>
    <t>ST1-L4C-P</t>
  </si>
  <si>
    <t>ST1-GS13-D</t>
  </si>
  <si>
    <t>ST1-GS13-P</t>
  </si>
  <si>
    <t>ST1-T240-P</t>
  </si>
  <si>
    <t>ISI with the Damping Loops</t>
  </si>
  <si>
    <t>ISI Locked</t>
  </si>
  <si>
    <t>ISI Tilted 1</t>
  </si>
  <si>
    <t>ISI Tilted 2</t>
  </si>
  <si>
    <t>ISI Tilted 3</t>
  </si>
  <si>
    <t>ISI Tilted 4</t>
  </si>
  <si>
    <t>ISI Tilted 5</t>
  </si>
  <si>
    <t>ISI Tilted 6</t>
  </si>
  <si>
    <t>+RX</t>
  </si>
  <si>
    <t>-RX</t>
  </si>
  <si>
    <t>Offset drive</t>
  </si>
  <si>
    <t>+RY</t>
  </si>
  <si>
    <t>-RY</t>
  </si>
  <si>
    <t>25K RX-25KRY</t>
  </si>
  <si>
    <t>25K RX+25KRY</t>
  </si>
  <si>
    <t>Time</t>
  </si>
  <si>
    <t>Tilt</t>
  </si>
  <si>
    <t>LHO_ISI_Locked/Unlocked_2011_12_06</t>
  </si>
  <si>
    <t>ISI Unlocked</t>
  </si>
  <si>
    <t>State</t>
  </si>
  <si>
    <t>GPS Time</t>
  </si>
  <si>
    <t>D1003136</t>
  </si>
  <si>
    <t>On Keel</t>
  </si>
  <si>
    <t>D071200-06</t>
  </si>
  <si>
    <t>D071200: 6,5,5;4,4,3,2,2,2;1,1,1,0</t>
  </si>
  <si>
    <t>Corner1 SideWall</t>
  </si>
  <si>
    <t>D071200:6,3,3,1,0;5,1;1</t>
  </si>
  <si>
    <t>Corner2 SideWall</t>
  </si>
  <si>
    <t>D071200:-;4,4;-</t>
  </si>
  <si>
    <t>Corner3 SideWall</t>
  </si>
  <si>
    <t>D1003163</t>
  </si>
  <si>
    <t>On Optical Table</t>
  </si>
  <si>
    <t>D1003164</t>
  </si>
  <si>
    <t>D1003123</t>
  </si>
  <si>
    <t>D1003166</t>
  </si>
  <si>
    <t>D1003167</t>
  </si>
  <si>
    <t>D1003168</t>
  </si>
  <si>
    <t>Mass type</t>
  </si>
  <si>
    <t>Mass Type</t>
  </si>
  <si>
    <t>Total weight (lb)</t>
  </si>
  <si>
    <t>Total weight (Kg)</t>
  </si>
  <si>
    <t>Total Weight (lb)</t>
  </si>
  <si>
    <t>D0902616-1,2,2,3</t>
  </si>
  <si>
    <t>D0902616--1,1,2</t>
  </si>
  <si>
    <t>D0902616--5</t>
  </si>
  <si>
    <t>Total Weight (Kg)</t>
  </si>
  <si>
    <t>Linearity TEST</t>
  </si>
  <si>
    <t>Inf</t>
  </si>
  <si>
    <t>BSC-ISI - BSC2</t>
  </si>
  <si>
    <t>E1000136</t>
  </si>
  <si>
    <t>L106</t>
  </si>
  <si>
    <t>L101</t>
  </si>
  <si>
    <t>L119</t>
  </si>
  <si>
    <t>L104</t>
  </si>
  <si>
    <t>L120</t>
  </si>
  <si>
    <t>L103</t>
  </si>
  <si>
    <t>S039</t>
  </si>
  <si>
    <t>S043</t>
  </si>
  <si>
    <t>S040</t>
  </si>
  <si>
    <t>S047</t>
  </si>
  <si>
    <t>S049</t>
  </si>
  <si>
    <t>S050</t>
  </si>
  <si>
    <t>12828</t>
  </si>
  <si>
    <t>13084</t>
  </si>
  <si>
    <t>13081</t>
  </si>
  <si>
    <t>12580</t>
  </si>
  <si>
    <t>12520</t>
  </si>
  <si>
    <t>12541</t>
  </si>
  <si>
    <t>12448</t>
  </si>
  <si>
    <t>12569</t>
  </si>
  <si>
    <t>DCC Number</t>
  </si>
  <si>
    <t>Description</t>
  </si>
  <si>
    <t>Length (in)</t>
  </si>
  <si>
    <t>D1100148</t>
  </si>
  <si>
    <t>2-wire, 14awg 3-pin M to 3-pin F</t>
  </si>
  <si>
    <t>S1106933</t>
  </si>
  <si>
    <t>ST1 - V2 - ext</t>
  </si>
  <si>
    <t>S1106935</t>
  </si>
  <si>
    <t>ST1 - V3 - ext</t>
  </si>
  <si>
    <t>S1106937</t>
  </si>
  <si>
    <t>ST1 - H3 - ext</t>
  </si>
  <si>
    <t>S1106941</t>
  </si>
  <si>
    <t>ST1 - H2 - ext</t>
  </si>
  <si>
    <t>S1106943</t>
  </si>
  <si>
    <t>ST2 - H2 - ext</t>
  </si>
  <si>
    <t>D1100150</t>
  </si>
  <si>
    <t>2-wire, 14awg 2 pins to 3-pin F</t>
  </si>
  <si>
    <t>S1107086</t>
  </si>
  <si>
    <t>S1107092</t>
  </si>
  <si>
    <t>S1107094</t>
  </si>
  <si>
    <t>S1107097</t>
  </si>
  <si>
    <t>S1107109</t>
  </si>
  <si>
    <t>S1107113</t>
  </si>
  <si>
    <t>D1100151</t>
  </si>
  <si>
    <t>S1107161</t>
  </si>
  <si>
    <t>S1107168</t>
  </si>
  <si>
    <t>S1107175</t>
  </si>
  <si>
    <t>S1107179</t>
  </si>
  <si>
    <t>ST2- H1</t>
  </si>
  <si>
    <t>S1107181</t>
  </si>
  <si>
    <t>S1107196</t>
  </si>
  <si>
    <t>D1100152</t>
  </si>
  <si>
    <t>25-pin F-to-25-pin F</t>
  </si>
  <si>
    <t>S1107242</t>
  </si>
  <si>
    <t>ST1 - T240 - C1</t>
  </si>
  <si>
    <t>S1107250</t>
  </si>
  <si>
    <t>ST1 - T240 - C3</t>
  </si>
  <si>
    <t>S1107262</t>
  </si>
  <si>
    <t>ST1 - T240 - C2</t>
  </si>
  <si>
    <t>D1100153</t>
  </si>
  <si>
    <t>S1107300</t>
  </si>
  <si>
    <t>ST1 - L4C - C1 - ext</t>
  </si>
  <si>
    <t>S1107301</t>
  </si>
  <si>
    <t>ST1  - L4C - C2 - ext</t>
  </si>
  <si>
    <t>S1107302</t>
  </si>
  <si>
    <t>ST1  - L4C - C3 - ext</t>
  </si>
  <si>
    <t>S1107303</t>
  </si>
  <si>
    <t>ST2 - GS13  - C3 - ext</t>
  </si>
  <si>
    <t>S1107304</t>
  </si>
  <si>
    <t>ST2 - GS13 - C1 - ext</t>
  </si>
  <si>
    <t>S1107306</t>
  </si>
  <si>
    <t>ST2 - GS13 - C2 - ext</t>
  </si>
  <si>
    <t>S1107019</t>
  </si>
  <si>
    <t>ST2 - V2 - ext</t>
  </si>
  <si>
    <t>S1107011</t>
  </si>
  <si>
    <t>ST2- V1 - ext</t>
  </si>
  <si>
    <t>S1107003</t>
  </si>
  <si>
    <t>ST2 - H3 - ext</t>
  </si>
  <si>
    <t>S1106991</t>
  </si>
  <si>
    <t>ST2 - H1 - ext</t>
  </si>
  <si>
    <t>S1106988</t>
  </si>
  <si>
    <t>ST1 - V1 - ext</t>
  </si>
  <si>
    <t>S1106987</t>
  </si>
  <si>
    <t>ST2 - V3 - ext</t>
  </si>
  <si>
    <t>S1107010</t>
  </si>
  <si>
    <t>ST1 - H1 - ext</t>
  </si>
  <si>
    <t>D1100154</t>
  </si>
  <si>
    <t>25-pin M-to-two 9-pin F straight</t>
  </si>
  <si>
    <t>S1107375</t>
  </si>
  <si>
    <t>ST1  - L4C - C2</t>
  </si>
  <si>
    <t>S1107339</t>
  </si>
  <si>
    <t>ST1 - L4C - C1</t>
  </si>
  <si>
    <t>S1107377</t>
  </si>
  <si>
    <t>ST1 - L4C - C3</t>
  </si>
  <si>
    <t>D1100155</t>
  </si>
  <si>
    <t>S1107417</t>
  </si>
  <si>
    <t>ST2 - GS13 - C2</t>
  </si>
  <si>
    <t>S1107401</t>
  </si>
  <si>
    <t>ST2 - GS13 - C3</t>
  </si>
  <si>
    <t>S1107396</t>
  </si>
  <si>
    <t>ST2 - GS13 - C1</t>
  </si>
  <si>
    <t>D</t>
  </si>
  <si>
    <t>E</t>
  </si>
  <si>
    <t>F</t>
  </si>
  <si>
    <t>Time GPS</t>
  </si>
  <si>
    <t>Table Tilted</t>
  </si>
  <si>
    <t xml:space="preserve">locked at </t>
  </si>
  <si>
    <t>Load 1</t>
  </si>
  <si>
    <t>Load 2</t>
  </si>
  <si>
    <t>Load 3</t>
  </si>
  <si>
    <t>Mean Load</t>
  </si>
  <si>
    <t>Load 4</t>
  </si>
  <si>
    <t>No load 2</t>
  </si>
  <si>
    <t>Mean No load</t>
  </si>
  <si>
    <t>Load 15Kg 1</t>
  </si>
  <si>
    <t>Load 15Kg 2</t>
  </si>
  <si>
    <t>Load 15Kg 3</t>
  </si>
  <si>
    <t>Mean load</t>
  </si>
  <si>
    <t>Mean no load</t>
  </si>
  <si>
    <t>2 type 0 + 1 type 1  + 3 type 2 +2 type 4 + 2 type 6</t>
  </si>
  <si>
    <t xml:space="preserve">top </t>
  </si>
  <si>
    <t>3 x 610lb + 233lb</t>
  </si>
  <si>
    <t>type 2616 - 3 type 5 + 4 type 2 + 1 type 3</t>
  </si>
  <si>
    <t>2 vibration absorbers</t>
  </si>
  <si>
    <t>D0902616-6</t>
  </si>
  <si>
    <t>2 vibration absorbers (15lb)</t>
  </si>
  <si>
    <t>D071200-1</t>
  </si>
  <si>
    <t>D071200-2</t>
  </si>
  <si>
    <t>D071200-3</t>
  </si>
  <si>
    <t>D071200-4</t>
  </si>
  <si>
    <t>D071200-5</t>
  </si>
  <si>
    <t>D071200-6</t>
  </si>
  <si>
    <t>D071200-0</t>
  </si>
  <si>
    <t>tupe 1</t>
  </si>
  <si>
    <t>tupe 2</t>
  </si>
  <si>
    <t>tupe 3</t>
  </si>
  <si>
    <t>tupe 4</t>
  </si>
  <si>
    <t>tupe 5</t>
  </si>
  <si>
    <t>tupe 6</t>
  </si>
  <si>
    <t>1 type 0 + 1 type 1 + 3 type 2 + 4 typ 3 + 4 type 4 + 2 type 6</t>
  </si>
  <si>
    <t xml:space="preserve">locket 2 at </t>
  </si>
  <si>
    <t>Unlocked 2 at</t>
  </si>
  <si>
    <t>After torquing ST2 blade C2 and C3 at 120</t>
  </si>
  <si>
    <t>rail</t>
  </si>
  <si>
    <t>1 type 0 + 1 type 1 + 4 type 3 + 3 type 4 + 2 type 6</t>
  </si>
  <si>
    <t>Stage 2 -  - 2612lb - 5% = 2481lb</t>
  </si>
  <si>
    <t>Mass Budget Nominal - 240lb - 5% = 228lb</t>
  </si>
  <si>
    <t>Stage 1 Actuators</t>
  </si>
  <si>
    <t>Stage 2 Blabde</t>
  </si>
  <si>
    <t>Stage 2 Actuators</t>
  </si>
  <si>
    <t>Stage 3 Blade</t>
  </si>
  <si>
    <t>Stage 3 Actuators</t>
  </si>
  <si>
    <t>Stage 1 Blade</t>
  </si>
  <si>
    <t>X</t>
  </si>
  <si>
    <t>Coarse</t>
  </si>
  <si>
    <t>Vertical CW 123 CCW 87</t>
  </si>
  <si>
    <t>Horizontal Up 100 Down 107</t>
  </si>
  <si>
    <t>Corner 2 </t>
  </si>
  <si>
    <t>Vertical CW 97 CCW 102</t>
  </si>
  <si>
    <t>Horizontal Up 96 Down 93</t>
  </si>
  <si>
    <t>Vertical CW 102 CCW 103</t>
  </si>
  <si>
    <t>Horizontal Up 98 Down 106</t>
  </si>
  <si>
    <t>Fine</t>
  </si>
  <si>
    <t>Vertical CW 105 CCW 103</t>
  </si>
  <si>
    <t>Horizontal Up 102 Down 96</t>
  </si>
  <si>
    <t>Vertical CW 92 CCW 93</t>
  </si>
  <si>
    <t>Horizontal Up 102 Down 97</t>
  </si>
  <si>
    <t>Vertical CW 96 CCW 107</t>
  </si>
  <si>
    <t>Horizontal Up 107 Down 87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</si>
</sst>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0.0000"/>
  </numFmts>
  <fonts count="29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4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1"/>
      <color rgb="FF000000"/>
      <name val="Arial"/>
      <family val="2"/>
    </font>
    <font>
      <sz val="24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EBF1DE"/>
        <bgColor rgb="FFFFFFFF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2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/>
    </xf>
    <xf numFmtId="0" fontId="8" fillId="0" borderId="12" xfId="0" applyFont="1" applyBorder="1" applyAlignment="1">
      <alignment horizontal="center"/>
    </xf>
    <xf numFmtId="0" fontId="10" fillId="0" borderId="0" xfId="0" applyFont="1"/>
    <xf numFmtId="49" fontId="5" fillId="0" borderId="1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8" fillId="0" borderId="0" xfId="0" applyFo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5" fontId="6" fillId="0" borderId="0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0" xfId="0" applyFont="1" applyBorder="1"/>
    <xf numFmtId="0" fontId="6" fillId="0" borderId="1" xfId="0" applyFont="1" applyBorder="1"/>
    <xf numFmtId="0" fontId="6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1" fontId="0" fillId="0" borderId="12" xfId="0" applyNumberForma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7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8" fillId="0" borderId="2" xfId="0" applyFont="1" applyBorder="1"/>
    <xf numFmtId="0" fontId="8" fillId="0" borderId="3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32" xfId="0" applyNumberFormat="1" applyFont="1" applyBorder="1" applyAlignment="1">
      <alignment horizontal="center"/>
    </xf>
    <xf numFmtId="0" fontId="8" fillId="0" borderId="12" xfId="0" applyFont="1" applyBorder="1"/>
    <xf numFmtId="1" fontId="0" fillId="0" borderId="3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8" fillId="0" borderId="5" xfId="0" applyFont="1" applyBorder="1"/>
    <xf numFmtId="1" fontId="0" fillId="0" borderId="3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8" fillId="0" borderId="7" xfId="0" applyFont="1" applyBorder="1"/>
    <xf numFmtId="1" fontId="0" fillId="0" borderId="3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" fontId="0" fillId="0" borderId="0" xfId="0" applyNumberFormat="1"/>
    <xf numFmtId="0" fontId="0" fillId="0" borderId="0" xfId="0"/>
    <xf numFmtId="2" fontId="0" fillId="0" borderId="0" xfId="0" applyNumberFormat="1"/>
    <xf numFmtId="0" fontId="8" fillId="0" borderId="19" xfId="0" applyFont="1" applyBorder="1"/>
    <xf numFmtId="0" fontId="0" fillId="0" borderId="3" xfId="0" applyBorder="1"/>
    <xf numFmtId="0" fontId="8" fillId="0" borderId="15" xfId="0" applyFont="1" applyBorder="1"/>
    <xf numFmtId="0" fontId="0" fillId="0" borderId="5" xfId="0" applyBorder="1"/>
    <xf numFmtId="0" fontId="8" fillId="0" borderId="16" xfId="0" applyFont="1" applyBorder="1"/>
    <xf numFmtId="0" fontId="0" fillId="0" borderId="7" xfId="0" applyBorder="1"/>
    <xf numFmtId="1" fontId="6" fillId="0" borderId="2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11" fontId="0" fillId="0" borderId="12" xfId="0" applyNumberForma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1" fontId="0" fillId="0" borderId="5" xfId="0" applyNumberForma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1" fontId="0" fillId="0" borderId="7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" fontId="8" fillId="0" borderId="41" xfId="0" applyNumberFormat="1" applyFont="1" applyBorder="1" applyAlignment="1">
      <alignment horizontal="center"/>
    </xf>
    <xf numFmtId="1" fontId="8" fillId="0" borderId="42" xfId="0" applyNumberFormat="1" applyFont="1" applyBorder="1" applyAlignment="1">
      <alignment horizontal="center"/>
    </xf>
    <xf numFmtId="1" fontId="8" fillId="0" borderId="43" xfId="0" applyNumberFormat="1" applyFont="1" applyBorder="1" applyAlignment="1">
      <alignment horizontal="center"/>
    </xf>
    <xf numFmtId="1" fontId="8" fillId="0" borderId="44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/>
    <xf numFmtId="0" fontId="8" fillId="0" borderId="44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1" fontId="13" fillId="0" borderId="25" xfId="0" applyNumberFormat="1" applyFon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13" fillId="0" borderId="30" xfId="0" applyNumberFormat="1" applyFon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1" fontId="0" fillId="0" borderId="56" xfId="0" applyNumberFormat="1" applyBorder="1" applyAlignment="1">
      <alignment horizontal="center"/>
    </xf>
    <xf numFmtId="1" fontId="0" fillId="0" borderId="57" xfId="0" applyNumberFormat="1" applyBorder="1" applyAlignment="1">
      <alignment horizontal="center"/>
    </xf>
    <xf numFmtId="1" fontId="13" fillId="0" borderId="55" xfId="0" applyNumberFormat="1" applyFont="1" applyBorder="1" applyAlignment="1">
      <alignment horizontal="center"/>
    </xf>
    <xf numFmtId="1" fontId="0" fillId="0" borderId="58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13" fillId="0" borderId="49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8" fillId="0" borderId="54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1" fontId="13" fillId="0" borderId="8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1" fontId="8" fillId="0" borderId="38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Border="1" applyAlignment="1"/>
    <xf numFmtId="164" fontId="0" fillId="0" borderId="39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15" fillId="0" borderId="0" xfId="0" applyFont="1"/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16" fillId="0" borderId="59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49" fontId="9" fillId="0" borderId="59" xfId="0" applyNumberFormat="1" applyFont="1" applyBorder="1" applyAlignment="1">
      <alignment horizontal="center" vertical="center"/>
    </xf>
    <xf numFmtId="1" fontId="9" fillId="0" borderId="59" xfId="0" applyNumberFormat="1" applyFont="1" applyBorder="1" applyAlignment="1">
      <alignment horizontal="center" vertical="center"/>
    </xf>
    <xf numFmtId="49" fontId="9" fillId="0" borderId="59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5" fillId="0" borderId="60" xfId="0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1" fontId="19" fillId="0" borderId="61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164" fontId="0" fillId="0" borderId="19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2" xfId="0" applyBorder="1"/>
    <xf numFmtId="0" fontId="0" fillId="0" borderId="33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9" xfId="0" applyBorder="1" applyAlignment="1">
      <alignment horizontal="center"/>
    </xf>
    <xf numFmtId="0" fontId="20" fillId="0" borderId="0" xfId="0" applyFont="1"/>
    <xf numFmtId="0" fontId="0" fillId="0" borderId="17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5" fontId="0" fillId="0" borderId="40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0" fillId="0" borderId="0" xfId="0" applyFont="1" applyBorder="1" applyAlignment="1">
      <alignment horizontal="left"/>
    </xf>
    <xf numFmtId="164" fontId="8" fillId="0" borderId="44" xfId="0" applyNumberFormat="1" applyFont="1" applyBorder="1" applyAlignment="1">
      <alignment horizontal="center"/>
    </xf>
    <xf numFmtId="164" fontId="8" fillId="0" borderId="3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0" fillId="0" borderId="21" xfId="0" quotePrefix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quotePrefix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1" fillId="0" borderId="0" xfId="0" applyFont="1"/>
    <xf numFmtId="0" fontId="21" fillId="0" borderId="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1" fillId="0" borderId="0" xfId="0" applyFont="1" applyBorder="1" applyAlignment="1"/>
    <xf numFmtId="0" fontId="0" fillId="0" borderId="21" xfId="0" applyBorder="1" applyAlignment="1">
      <alignment horizontal="center"/>
    </xf>
    <xf numFmtId="0" fontId="0" fillId="0" borderId="52" xfId="0" applyBorder="1" applyAlignment="1">
      <alignment horizontal="center"/>
    </xf>
    <xf numFmtId="0" fontId="8" fillId="0" borderId="2" xfId="0" applyFont="1" applyFill="1" applyBorder="1"/>
    <xf numFmtId="0" fontId="8" fillId="0" borderId="3" xfId="0" applyFont="1" applyFill="1" applyBorder="1"/>
    <xf numFmtId="0" fontId="8" fillId="0" borderId="5" xfId="0" applyFont="1" applyFill="1" applyBorder="1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164" fontId="0" fillId="0" borderId="11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51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5" fontId="0" fillId="0" borderId="51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23" fillId="0" borderId="0" xfId="0" applyFont="1"/>
    <xf numFmtId="0" fontId="23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4" fillId="0" borderId="2" xfId="0" applyFont="1" applyFill="1" applyBorder="1" applyAlignment="1">
      <alignment horizontal="center" vertical="center"/>
    </xf>
    <xf numFmtId="14" fontId="26" fillId="0" borderId="53" xfId="1" applyNumberFormat="1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14" fontId="26" fillId="0" borderId="6" xfId="1" applyNumberFormat="1" applyFont="1" applyFill="1" applyBorder="1" applyAlignment="1">
      <alignment horizontal="center"/>
    </xf>
    <xf numFmtId="0" fontId="26" fillId="0" borderId="6" xfId="1" applyFont="1" applyFill="1" applyBorder="1" applyAlignment="1">
      <alignment horizontal="center"/>
    </xf>
    <xf numFmtId="0" fontId="26" fillId="0" borderId="52" xfId="1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/>
    </xf>
    <xf numFmtId="1" fontId="26" fillId="0" borderId="52" xfId="1" applyNumberFormat="1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1" fontId="26" fillId="0" borderId="21" xfId="0" applyNumberFormat="1" applyFont="1" applyFill="1" applyBorder="1" applyAlignment="1">
      <alignment horizontal="center"/>
    </xf>
    <xf numFmtId="1" fontId="26" fillId="0" borderId="21" xfId="1" applyNumberFormat="1" applyFont="1" applyFill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5" fontId="0" fillId="0" borderId="0" xfId="0" applyNumberFormat="1" applyFont="1"/>
    <xf numFmtId="0" fontId="8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51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8" xfId="0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1" fontId="0" fillId="4" borderId="12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14" fontId="26" fillId="0" borderId="38" xfId="1" applyNumberFormat="1" applyFont="1" applyFill="1" applyBorder="1" applyAlignment="1">
      <alignment horizontal="center"/>
    </xf>
    <xf numFmtId="1" fontId="26" fillId="0" borderId="24" xfId="1" applyNumberFormat="1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6" fillId="0" borderId="8" xfId="1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1" fontId="24" fillId="0" borderId="44" xfId="0" applyNumberFormat="1" applyFont="1" applyFill="1" applyBorder="1" applyAlignment="1">
      <alignment horizontal="center" vertical="center"/>
    </xf>
    <xf numFmtId="1" fontId="26" fillId="0" borderId="28" xfId="0" applyNumberFormat="1" applyFont="1" applyFill="1" applyBorder="1" applyAlignment="1">
      <alignment horizontal="center"/>
    </xf>
    <xf numFmtId="1" fontId="26" fillId="0" borderId="22" xfId="0" applyNumberFormat="1" applyFont="1" applyFill="1" applyBorder="1" applyAlignment="1">
      <alignment horizontal="center"/>
    </xf>
    <xf numFmtId="0" fontId="0" fillId="0" borderId="0" xfId="0" applyAlignment="1"/>
    <xf numFmtId="1" fontId="0" fillId="0" borderId="0" xfId="0" applyNumberFormat="1" applyFont="1"/>
    <xf numFmtId="16" fontId="0" fillId="0" borderId="0" xfId="0" applyNumberFormat="1"/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6" xfId="0" applyFont="1" applyBorder="1" applyAlignment="1">
      <alignment horizontal="right" vertical="center" textRotation="90"/>
    </xf>
    <xf numFmtId="166" fontId="0" fillId="0" borderId="11" xfId="0" applyNumberForma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166" fontId="0" fillId="0" borderId="44" xfId="0" applyNumberFormat="1" applyBorder="1" applyAlignment="1">
      <alignment horizontal="center" vertical="center"/>
    </xf>
    <xf numFmtId="0" fontId="28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568440</xdr:colOff>
      <xdr:row>305</xdr:row>
      <xdr:rowOff>35640</xdr:rowOff>
    </xdr:from>
    <xdr:to>
      <xdr:col>26</xdr:col>
      <xdr:colOff>569865</xdr:colOff>
      <xdr:row>362</xdr:row>
      <xdr:rowOff>38160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70920" y="53503200"/>
          <a:ext cx="8857440" cy="10099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40"/>
  <sheetViews>
    <sheetView tabSelected="1" topLeftCell="A382" zoomScale="70" zoomScaleNormal="70" zoomScalePageLayoutView="60" workbookViewId="0">
      <selection activeCell="A420" sqref="A420"/>
    </sheetView>
  </sheetViews>
  <sheetFormatPr defaultRowHeight="15"/>
  <cols>
    <col min="1" max="1" width="29.42578125" style="1"/>
    <col min="2" max="2" width="15.28515625" style="1" bestFit="1" customWidth="1"/>
    <col min="3" max="3" width="9.28515625" style="2"/>
    <col min="4" max="4" width="17"/>
    <col min="5" max="5" width="21"/>
    <col min="6" max="6" width="13" customWidth="1"/>
    <col min="7" max="7" width="9.5703125" bestFit="1" customWidth="1"/>
    <col min="8" max="8" width="21.7109375"/>
    <col min="9" max="9" width="14"/>
    <col min="10" max="10" width="13.5703125" bestFit="1" customWidth="1"/>
    <col min="11" max="11" width="24.140625"/>
    <col min="12" max="12" width="7.85546875"/>
    <col min="13" max="13" width="22.28515625"/>
    <col min="14" max="14" width="8.5703125"/>
    <col min="15" max="15" width="7.140625"/>
    <col min="16" max="16" width="11.85546875"/>
    <col min="17" max="17" width="22.28515625"/>
    <col min="18" max="18" width="14.7109375" customWidth="1"/>
    <col min="19" max="22" width="8.5703125"/>
    <col min="23" max="23" width="27.140625" bestFit="1" customWidth="1"/>
    <col min="24" max="1025" width="8.5703125"/>
  </cols>
  <sheetData>
    <row r="1" spans="1:13" ht="28.5">
      <c r="A1" s="3" t="s">
        <v>423</v>
      </c>
    </row>
    <row r="3" spans="1:13">
      <c r="A3" s="1" t="s">
        <v>0</v>
      </c>
    </row>
    <row r="4" spans="1:13" ht="15.75">
      <c r="A4" s="499" t="s">
        <v>1</v>
      </c>
      <c r="B4" s="499"/>
      <c r="C4" s="4" t="s">
        <v>2</v>
      </c>
      <c r="D4" s="4" t="s">
        <v>3</v>
      </c>
    </row>
    <row r="5" spans="1:13">
      <c r="A5" s="496" t="s">
        <v>4</v>
      </c>
      <c r="B5" s="496"/>
      <c r="C5" s="489" t="s">
        <v>5</v>
      </c>
      <c r="D5" s="7" t="s">
        <v>6</v>
      </c>
    </row>
    <row r="6" spans="1:13">
      <c r="A6" s="497" t="s">
        <v>7</v>
      </c>
      <c r="B6" s="497"/>
      <c r="C6" s="489"/>
      <c r="D6" s="8" t="s">
        <v>8</v>
      </c>
    </row>
    <row r="7" spans="1:13">
      <c r="A7" s="498" t="s">
        <v>9</v>
      </c>
      <c r="B7" s="498"/>
      <c r="C7" s="489"/>
      <c r="D7" s="9" t="s">
        <v>10</v>
      </c>
    </row>
    <row r="8" spans="1:13">
      <c r="A8" s="496" t="s">
        <v>11</v>
      </c>
      <c r="B8" s="496"/>
      <c r="C8" s="489" t="s">
        <v>12</v>
      </c>
      <c r="D8" s="7" t="s">
        <v>13</v>
      </c>
    </row>
    <row r="9" spans="1:13">
      <c r="A9" s="497" t="s">
        <v>14</v>
      </c>
      <c r="B9" s="497"/>
      <c r="C9" s="489"/>
      <c r="D9" s="8" t="s">
        <v>15</v>
      </c>
    </row>
    <row r="10" spans="1:13">
      <c r="A10" s="498" t="s">
        <v>16</v>
      </c>
      <c r="B10" s="498"/>
      <c r="C10" s="489"/>
      <c r="D10" s="9" t="s">
        <v>17</v>
      </c>
    </row>
    <row r="11" spans="1:13" ht="15.75">
      <c r="A11" s="491" t="s">
        <v>18</v>
      </c>
      <c r="B11" s="491"/>
      <c r="C11" s="11" t="s">
        <v>19</v>
      </c>
      <c r="D11" s="11" t="s">
        <v>20</v>
      </c>
    </row>
    <row r="12" spans="1:13">
      <c r="A12" s="488" t="s">
        <v>21</v>
      </c>
      <c r="B12" s="488"/>
      <c r="C12" s="489" t="s">
        <v>22</v>
      </c>
      <c r="D12" s="5" t="s">
        <v>23</v>
      </c>
    </row>
    <row r="13" spans="1:13" ht="15.75">
      <c r="A13" s="490" t="s">
        <v>21</v>
      </c>
      <c r="B13" s="490"/>
      <c r="C13" s="489"/>
      <c r="D13" s="12" t="s">
        <v>24</v>
      </c>
    </row>
    <row r="14" spans="1:13" ht="15.75">
      <c r="A14" s="491" t="s">
        <v>25</v>
      </c>
      <c r="B14" s="491"/>
      <c r="C14" s="6" t="s">
        <v>26</v>
      </c>
      <c r="D14" s="10" t="s">
        <v>27</v>
      </c>
    </row>
    <row r="15" spans="1:13" ht="15.75">
      <c r="A15" s="492" t="s">
        <v>28</v>
      </c>
      <c r="B15" s="492"/>
      <c r="C15" s="493" t="s">
        <v>29</v>
      </c>
      <c r="D15" s="13" t="s">
        <v>30</v>
      </c>
    </row>
    <row r="16" spans="1:13" ht="15.75">
      <c r="A16" s="494" t="s">
        <v>31</v>
      </c>
      <c r="B16" s="494"/>
      <c r="C16" s="493"/>
      <c r="D16" s="14" t="s">
        <v>32</v>
      </c>
      <c r="H16" s="15"/>
      <c r="I16" s="15"/>
      <c r="J16" s="15"/>
      <c r="K16" s="15"/>
      <c r="L16" s="16"/>
      <c r="M16" s="16"/>
    </row>
    <row r="17" spans="1:13" ht="15.75">
      <c r="A17" s="495" t="s">
        <v>33</v>
      </c>
      <c r="B17" s="495"/>
      <c r="C17" s="493"/>
      <c r="D17" s="12" t="s">
        <v>34</v>
      </c>
      <c r="H17" s="15"/>
      <c r="I17" s="15"/>
      <c r="J17" s="15"/>
      <c r="K17" s="15"/>
      <c r="L17" s="16"/>
      <c r="M17" s="16"/>
    </row>
    <row r="18" spans="1:13" ht="15.75">
      <c r="A18" s="491" t="s">
        <v>35</v>
      </c>
      <c r="B18" s="491"/>
      <c r="C18" s="10" t="s">
        <v>36</v>
      </c>
      <c r="D18" s="10" t="s">
        <v>37</v>
      </c>
      <c r="H18" s="17"/>
      <c r="I18" s="15"/>
      <c r="J18" s="15"/>
      <c r="K18" s="15"/>
      <c r="L18" s="16"/>
      <c r="M18" s="16"/>
    </row>
    <row r="19" spans="1:13" ht="15.75">
      <c r="A19" s="496" t="s">
        <v>38</v>
      </c>
      <c r="B19" s="496"/>
      <c r="C19" s="493" t="s">
        <v>39</v>
      </c>
      <c r="D19" s="13" t="s">
        <v>40</v>
      </c>
      <c r="H19" s="17"/>
      <c r="I19" s="15"/>
      <c r="J19" s="15"/>
      <c r="K19" s="15"/>
      <c r="L19" s="15"/>
      <c r="M19" s="15"/>
    </row>
    <row r="20" spans="1:13" ht="15.75">
      <c r="A20" s="497" t="s">
        <v>41</v>
      </c>
      <c r="B20" s="497"/>
      <c r="C20" s="493"/>
      <c r="D20" s="14" t="s">
        <v>42</v>
      </c>
      <c r="H20" s="17"/>
      <c r="I20" s="15"/>
      <c r="J20" s="15"/>
      <c r="K20" s="15"/>
      <c r="L20" s="15"/>
      <c r="M20" s="15"/>
    </row>
    <row r="21" spans="1:13" ht="15.75">
      <c r="A21" s="498" t="s">
        <v>43</v>
      </c>
      <c r="B21" s="498"/>
      <c r="C21" s="493"/>
      <c r="D21" s="12" t="s">
        <v>44</v>
      </c>
    </row>
    <row r="22" spans="1:13">
      <c r="A22" s="500"/>
      <c r="B22" s="500"/>
      <c r="C22" s="19"/>
      <c r="D22" s="15"/>
      <c r="E22" s="15"/>
    </row>
    <row r="23" spans="1:13">
      <c r="A23" s="501"/>
      <c r="B23" s="501"/>
      <c r="C23" s="20"/>
      <c r="D23" s="15"/>
      <c r="E23" s="15"/>
    </row>
    <row r="24" spans="1:13">
      <c r="A24" s="501"/>
      <c r="B24" s="501"/>
      <c r="C24" s="20"/>
      <c r="D24" s="15"/>
      <c r="E24" s="15"/>
    </row>
    <row r="25" spans="1:13">
      <c r="A25" s="501"/>
      <c r="B25" s="501"/>
      <c r="C25" s="20"/>
      <c r="D25" s="15"/>
      <c r="E25" s="15"/>
    </row>
    <row r="27" spans="1:13" ht="15.75" thickBot="1">
      <c r="H27" s="21" t="s">
        <v>45</v>
      </c>
      <c r="I27" s="21" t="s">
        <v>46</v>
      </c>
      <c r="J27" s="21" t="s">
        <v>47</v>
      </c>
    </row>
    <row r="28" spans="1:13" ht="15.75" thickBot="1">
      <c r="A28" s="502" t="s">
        <v>48</v>
      </c>
      <c r="B28" s="503"/>
      <c r="C28" s="502" t="s">
        <v>49</v>
      </c>
      <c r="D28" s="503"/>
      <c r="H28" s="22" t="s">
        <v>50</v>
      </c>
      <c r="I28" s="22" t="s">
        <v>51</v>
      </c>
      <c r="J28" s="22"/>
    </row>
    <row r="29" spans="1:13" ht="15.75" thickBot="1">
      <c r="A29" s="23" t="s">
        <v>45</v>
      </c>
      <c r="B29" s="24" t="s">
        <v>52</v>
      </c>
      <c r="C29" s="23" t="s">
        <v>45</v>
      </c>
      <c r="D29" s="24" t="s">
        <v>52</v>
      </c>
      <c r="H29" s="25" t="s">
        <v>53</v>
      </c>
      <c r="I29" s="25" t="s">
        <v>54</v>
      </c>
      <c r="J29" s="25"/>
    </row>
    <row r="30" spans="1:13" ht="15.75">
      <c r="A30" s="26" t="s">
        <v>55</v>
      </c>
      <c r="B30" s="27" t="s">
        <v>429</v>
      </c>
      <c r="C30" s="28" t="s">
        <v>57</v>
      </c>
      <c r="D30" s="29" t="s">
        <v>431</v>
      </c>
      <c r="H30" s="25" t="s">
        <v>59</v>
      </c>
      <c r="I30" s="25" t="s">
        <v>60</v>
      </c>
      <c r="J30" s="25"/>
    </row>
    <row r="31" spans="1:13" ht="16.5" thickBot="1">
      <c r="A31" s="28" t="s">
        <v>61</v>
      </c>
      <c r="B31" s="29" t="s">
        <v>427</v>
      </c>
      <c r="C31" s="28" t="s">
        <v>63</v>
      </c>
      <c r="D31" s="29" t="s">
        <v>433</v>
      </c>
      <c r="H31" s="30" t="s">
        <v>65</v>
      </c>
      <c r="I31" s="30" t="s">
        <v>66</v>
      </c>
      <c r="J31" s="30"/>
    </row>
    <row r="32" spans="1:13" ht="15.75">
      <c r="A32" s="28" t="s">
        <v>67</v>
      </c>
      <c r="B32" s="29" t="s">
        <v>425</v>
      </c>
      <c r="C32" s="28" t="s">
        <v>69</v>
      </c>
      <c r="D32" s="29" t="s">
        <v>436</v>
      </c>
      <c r="H32" s="22" t="s">
        <v>71</v>
      </c>
      <c r="I32" s="22" t="s">
        <v>72</v>
      </c>
      <c r="J32" s="22"/>
    </row>
    <row r="33" spans="1:16" ht="15.75">
      <c r="A33" s="28" t="s">
        <v>73</v>
      </c>
      <c r="B33" s="29" t="s">
        <v>430</v>
      </c>
      <c r="C33" s="28" t="s">
        <v>75</v>
      </c>
      <c r="D33" s="29" t="s">
        <v>432</v>
      </c>
      <c r="H33" s="25" t="s">
        <v>77</v>
      </c>
      <c r="I33" s="25" t="s">
        <v>78</v>
      </c>
      <c r="J33" s="25"/>
    </row>
    <row r="34" spans="1:16" ht="15.75">
      <c r="A34" s="28" t="s">
        <v>79</v>
      </c>
      <c r="B34" s="29" t="s">
        <v>428</v>
      </c>
      <c r="C34" s="28" t="s">
        <v>81</v>
      </c>
      <c r="D34" s="29" t="s">
        <v>434</v>
      </c>
      <c r="H34" s="25" t="s">
        <v>83</v>
      </c>
      <c r="I34" s="25" t="s">
        <v>84</v>
      </c>
      <c r="J34" s="25"/>
    </row>
    <row r="35" spans="1:16" ht="16.5" thickBot="1">
      <c r="A35" s="31" t="s">
        <v>85</v>
      </c>
      <c r="B35" s="32" t="s">
        <v>426</v>
      </c>
      <c r="C35" s="31" t="s">
        <v>87</v>
      </c>
      <c r="D35" s="32" t="s">
        <v>435</v>
      </c>
      <c r="H35" s="30" t="s">
        <v>89</v>
      </c>
      <c r="I35" s="30" t="s">
        <v>72</v>
      </c>
      <c r="J35" s="30"/>
    </row>
    <row r="36" spans="1:16">
      <c r="H36" s="33" t="s">
        <v>90</v>
      </c>
      <c r="I36" s="33" t="s">
        <v>91</v>
      </c>
      <c r="J36" s="33"/>
    </row>
    <row r="37" spans="1:16" ht="18">
      <c r="A37" s="34" t="s">
        <v>92</v>
      </c>
      <c r="H37" s="25" t="s">
        <v>93</v>
      </c>
      <c r="I37" s="25" t="s">
        <v>94</v>
      </c>
      <c r="J37" s="25"/>
      <c r="L37" s="15"/>
      <c r="M37" s="15"/>
      <c r="N37" s="15"/>
      <c r="O37" s="15"/>
      <c r="P37" s="15"/>
    </row>
    <row r="38" spans="1:16">
      <c r="H38" s="25" t="s">
        <v>95</v>
      </c>
      <c r="I38" s="25" t="s">
        <v>96</v>
      </c>
      <c r="J38" s="25"/>
      <c r="L38" s="15"/>
      <c r="M38" s="383"/>
      <c r="N38" s="383"/>
      <c r="O38" s="384"/>
      <c r="P38" s="15"/>
    </row>
    <row r="39" spans="1:16" ht="15.75" thickBot="1">
      <c r="A39" s="23" t="s">
        <v>98</v>
      </c>
      <c r="B39" s="36" t="s">
        <v>99</v>
      </c>
      <c r="C39" s="367" t="s">
        <v>100</v>
      </c>
      <c r="D39" s="386"/>
      <c r="H39" s="30" t="s">
        <v>101</v>
      </c>
      <c r="I39" s="30" t="s">
        <v>102</v>
      </c>
      <c r="J39" s="30"/>
      <c r="L39" s="15"/>
      <c r="M39" s="383"/>
      <c r="N39" s="383"/>
      <c r="O39" s="384"/>
      <c r="P39" s="15"/>
    </row>
    <row r="40" spans="1:16">
      <c r="A40" s="37" t="s">
        <v>105</v>
      </c>
      <c r="B40" s="98">
        <v>12429</v>
      </c>
      <c r="C40" s="393">
        <v>13201</v>
      </c>
      <c r="D40" s="386"/>
      <c r="L40" s="15"/>
      <c r="M40" s="383"/>
      <c r="N40" s="383"/>
      <c r="O40" s="385"/>
      <c r="P40" s="15"/>
    </row>
    <row r="41" spans="1:16" ht="15.75" thickBot="1">
      <c r="A41" s="40" t="s">
        <v>106</v>
      </c>
      <c r="B41" s="101">
        <v>12533</v>
      </c>
      <c r="C41" s="394">
        <v>13419</v>
      </c>
      <c r="D41" s="386"/>
      <c r="L41" s="15"/>
      <c r="M41" s="383"/>
      <c r="N41" s="383"/>
      <c r="O41" s="384"/>
      <c r="P41" s="15"/>
    </row>
    <row r="42" spans="1:16" ht="15.75" thickBot="1">
      <c r="A42" s="40" t="s">
        <v>107</v>
      </c>
      <c r="B42" s="399" t="s">
        <v>437</v>
      </c>
      <c r="C42" s="394">
        <v>13454</v>
      </c>
      <c r="D42" s="386"/>
      <c r="H42" s="132" t="s">
        <v>45</v>
      </c>
      <c r="I42" s="429" t="s">
        <v>47</v>
      </c>
      <c r="J42" s="428"/>
      <c r="L42" s="15"/>
      <c r="M42" s="383"/>
      <c r="N42" s="383"/>
      <c r="O42" s="385"/>
      <c r="P42" s="15"/>
    </row>
    <row r="43" spans="1:16">
      <c r="A43" s="40" t="s">
        <v>108</v>
      </c>
      <c r="B43" s="398" t="s">
        <v>438</v>
      </c>
      <c r="C43" s="394">
        <v>13183</v>
      </c>
      <c r="D43" s="386"/>
      <c r="H43" s="134" t="s">
        <v>50</v>
      </c>
      <c r="I43" s="435">
        <v>7.34382657569091</v>
      </c>
      <c r="J43" s="428"/>
      <c r="L43" s="15"/>
      <c r="M43" s="383"/>
      <c r="N43" s="383"/>
      <c r="O43" s="384"/>
      <c r="P43" s="15"/>
    </row>
    <row r="44" spans="1:16">
      <c r="A44" s="40" t="s">
        <v>111</v>
      </c>
      <c r="B44" s="398" t="s">
        <v>439</v>
      </c>
      <c r="C44" s="395">
        <v>13528</v>
      </c>
      <c r="D44" s="386"/>
      <c r="F44" s="42"/>
      <c r="H44" s="136" t="s">
        <v>71</v>
      </c>
      <c r="I44" s="436">
        <v>7.2703010681248701</v>
      </c>
      <c r="J44" s="428"/>
      <c r="L44" s="15"/>
      <c r="M44" s="383"/>
      <c r="N44" s="383"/>
      <c r="O44" s="384"/>
      <c r="P44" s="15"/>
    </row>
    <row r="45" spans="1:16" ht="15.75" thickBot="1">
      <c r="A45" s="57" t="s">
        <v>114</v>
      </c>
      <c r="B45" s="400" t="s">
        <v>440</v>
      </c>
      <c r="C45" s="396">
        <v>12953</v>
      </c>
      <c r="D45" s="386"/>
      <c r="F45" s="42"/>
      <c r="H45" s="136" t="s">
        <v>90</v>
      </c>
      <c r="I45" s="436">
        <v>7.36332458153767</v>
      </c>
      <c r="J45" s="428"/>
      <c r="L45" s="15"/>
      <c r="M45" s="383"/>
      <c r="N45" s="383"/>
      <c r="O45" s="384"/>
      <c r="P45" s="15"/>
    </row>
    <row r="46" spans="1:16" ht="15.75" thickBot="1">
      <c r="A46" s="366"/>
      <c r="B46" s="387"/>
      <c r="C46" s="44"/>
      <c r="D46" s="45"/>
      <c r="H46" s="136" t="s">
        <v>65</v>
      </c>
      <c r="I46" s="436">
        <v>7.4087005774547601</v>
      </c>
      <c r="J46" s="428"/>
      <c r="L46" s="15"/>
      <c r="M46" s="383"/>
      <c r="N46" s="383"/>
      <c r="O46" s="384"/>
      <c r="P46" s="15"/>
    </row>
    <row r="47" spans="1:16" ht="15.75" thickBot="1">
      <c r="A47" s="23" t="s">
        <v>119</v>
      </c>
      <c r="B47" s="36" t="s">
        <v>99</v>
      </c>
      <c r="C47" s="367" t="s">
        <v>100</v>
      </c>
      <c r="D47" s="386"/>
      <c r="H47" s="136" t="s">
        <v>89</v>
      </c>
      <c r="I47" s="436">
        <v>7.2906795780620701</v>
      </c>
      <c r="J47" s="428"/>
      <c r="L47" s="15"/>
      <c r="M47" s="383"/>
      <c r="N47" s="383"/>
      <c r="O47" s="384"/>
      <c r="P47" s="15"/>
    </row>
    <row r="48" spans="1:16" ht="15.75" thickBot="1">
      <c r="A48" s="37" t="s">
        <v>105</v>
      </c>
      <c r="B48" s="397" t="s">
        <v>441</v>
      </c>
      <c r="C48" s="393">
        <v>13230</v>
      </c>
      <c r="D48" s="386"/>
      <c r="H48" s="203" t="s">
        <v>101</v>
      </c>
      <c r="I48" s="437">
        <v>7.2521257772624903</v>
      </c>
      <c r="J48" s="428"/>
      <c r="L48" s="15"/>
      <c r="M48" s="383"/>
      <c r="N48" s="383"/>
      <c r="O48" s="384"/>
      <c r="P48" s="15"/>
    </row>
    <row r="49" spans="1:16">
      <c r="A49" s="40" t="s">
        <v>106</v>
      </c>
      <c r="B49" s="398" t="s">
        <v>442</v>
      </c>
      <c r="C49" s="394">
        <v>13418</v>
      </c>
      <c r="D49" s="386"/>
      <c r="H49" s="134" t="s">
        <v>53</v>
      </c>
      <c r="I49" s="435">
        <v>11.1040906502387</v>
      </c>
      <c r="J49" s="428"/>
      <c r="L49" s="15"/>
      <c r="M49" s="383"/>
      <c r="N49" s="383"/>
      <c r="O49" s="384"/>
      <c r="P49" s="15"/>
    </row>
    <row r="50" spans="1:16">
      <c r="A50" s="40" t="s">
        <v>107</v>
      </c>
      <c r="B50" s="399" t="s">
        <v>443</v>
      </c>
      <c r="C50" s="395">
        <v>13450</v>
      </c>
      <c r="D50" s="386"/>
      <c r="H50" s="136" t="s">
        <v>77</v>
      </c>
      <c r="I50" s="436">
        <v>10.894519661295799</v>
      </c>
      <c r="J50" s="428"/>
    </row>
    <row r="51" spans="1:16">
      <c r="A51" s="40" t="s">
        <v>108</v>
      </c>
      <c r="B51" s="398" t="s">
        <v>444</v>
      </c>
      <c r="C51" s="395">
        <v>13238</v>
      </c>
      <c r="D51" s="386"/>
      <c r="H51" s="136" t="s">
        <v>93</v>
      </c>
      <c r="I51" s="436">
        <v>10.767668751064599</v>
      </c>
      <c r="J51" s="428"/>
    </row>
    <row r="52" spans="1:16">
      <c r="A52" s="40" t="s">
        <v>111</v>
      </c>
      <c r="B52" s="101">
        <v>12577</v>
      </c>
      <c r="C52" s="395">
        <v>13439</v>
      </c>
      <c r="D52" s="386"/>
      <c r="H52" s="136" t="s">
        <v>59</v>
      </c>
      <c r="I52" s="436">
        <v>11.2401992837568</v>
      </c>
      <c r="J52" s="428"/>
    </row>
    <row r="53" spans="1:16" ht="15.75" thickBot="1">
      <c r="A53" s="57" t="s">
        <v>114</v>
      </c>
      <c r="B53" s="104">
        <v>12561</v>
      </c>
      <c r="C53" s="396">
        <v>13452</v>
      </c>
      <c r="D53" s="386"/>
      <c r="H53" s="136" t="s">
        <v>83</v>
      </c>
      <c r="I53" s="436">
        <v>11.177279419955701</v>
      </c>
      <c r="J53" s="428"/>
    </row>
    <row r="54" spans="1:16" ht="15.75" thickBot="1">
      <c r="H54" s="137" t="s">
        <v>95</v>
      </c>
      <c r="I54" s="438">
        <v>10.930832038937501</v>
      </c>
      <c r="J54" s="428"/>
    </row>
    <row r="55" spans="1:16">
      <c r="A55" s="46"/>
      <c r="B55" s="18"/>
      <c r="C55" s="44"/>
      <c r="D55" s="45"/>
    </row>
    <row r="56" spans="1:16" ht="15.75" thickBot="1"/>
    <row r="57" spans="1:16" ht="16.5" thickBot="1">
      <c r="A57" s="24" t="s">
        <v>122</v>
      </c>
      <c r="B57" s="380" t="s">
        <v>123</v>
      </c>
      <c r="C57" s="36" t="s">
        <v>124</v>
      </c>
      <c r="D57" s="43"/>
      <c r="E57" s="15"/>
      <c r="F57" s="15"/>
      <c r="G57" s="381"/>
      <c r="H57" s="381"/>
      <c r="I57" s="47"/>
      <c r="J57" s="47"/>
      <c r="K57" s="48"/>
      <c r="L57" s="49"/>
      <c r="M57" s="50"/>
      <c r="N57" s="50"/>
    </row>
    <row r="58" spans="1:16">
      <c r="A58" s="37" t="s">
        <v>105</v>
      </c>
      <c r="B58" s="392">
        <v>852</v>
      </c>
      <c r="C58" s="326">
        <v>54</v>
      </c>
      <c r="D58" s="52"/>
      <c r="E58" s="15"/>
      <c r="F58" s="15"/>
      <c r="G58" s="52"/>
      <c r="H58" s="52"/>
      <c r="I58" s="53"/>
      <c r="J58" s="53"/>
      <c r="K58" s="54"/>
      <c r="L58" s="55"/>
      <c r="M58" s="53"/>
      <c r="N58" s="53"/>
    </row>
    <row r="59" spans="1:16">
      <c r="A59" s="40" t="s">
        <v>106</v>
      </c>
      <c r="B59" s="382">
        <v>834</v>
      </c>
      <c r="C59" s="41">
        <v>70</v>
      </c>
      <c r="D59" s="52"/>
      <c r="E59" s="391"/>
      <c r="F59" s="15"/>
      <c r="G59" s="381"/>
      <c r="H59" s="381"/>
      <c r="I59" s="53"/>
      <c r="J59" s="53"/>
      <c r="K59" s="54"/>
      <c r="L59" s="55"/>
      <c r="M59" s="53"/>
      <c r="N59" s="53"/>
    </row>
    <row r="60" spans="1:16">
      <c r="A60" s="40" t="s">
        <v>107</v>
      </c>
      <c r="B60" s="382">
        <v>540</v>
      </c>
      <c r="C60" s="41">
        <v>50</v>
      </c>
      <c r="D60" s="52"/>
      <c r="E60" s="15"/>
      <c r="F60" s="15"/>
      <c r="G60" s="381"/>
      <c r="H60" s="381"/>
      <c r="I60" s="53"/>
      <c r="J60" s="53"/>
      <c r="K60" s="54"/>
      <c r="L60" s="55"/>
      <c r="M60" s="53"/>
      <c r="N60" s="53"/>
    </row>
    <row r="61" spans="1:16">
      <c r="A61" s="40" t="s">
        <v>108</v>
      </c>
      <c r="B61" s="382">
        <v>770</v>
      </c>
      <c r="C61" s="41">
        <v>64</v>
      </c>
      <c r="E61" s="15"/>
      <c r="F61" s="15"/>
      <c r="G61" s="381"/>
      <c r="H61" s="381"/>
      <c r="I61" s="53"/>
      <c r="J61" s="53"/>
      <c r="K61" s="54"/>
      <c r="L61" s="55"/>
      <c r="M61" s="53"/>
      <c r="N61" s="53"/>
    </row>
    <row r="62" spans="1:16">
      <c r="A62" s="40" t="s">
        <v>111</v>
      </c>
      <c r="B62" s="382">
        <v>725</v>
      </c>
      <c r="C62" s="41">
        <v>55</v>
      </c>
      <c r="E62" s="15"/>
      <c r="F62" s="15"/>
      <c r="G62" s="381"/>
      <c r="H62" s="381"/>
      <c r="I62" s="53"/>
      <c r="J62" s="53"/>
      <c r="K62" s="54"/>
      <c r="L62" s="55"/>
      <c r="M62" s="53"/>
      <c r="N62" s="53"/>
    </row>
    <row r="63" spans="1:16" ht="15.75" thickBot="1">
      <c r="A63" s="57" t="s">
        <v>114</v>
      </c>
      <c r="B63" s="138">
        <v>762</v>
      </c>
      <c r="C63" s="58">
        <v>12</v>
      </c>
      <c r="E63" s="15"/>
      <c r="F63" s="15"/>
      <c r="G63" s="15"/>
      <c r="H63" s="15"/>
      <c r="I63" s="53"/>
      <c r="J63" s="53"/>
      <c r="K63" s="54"/>
      <c r="L63" s="55"/>
      <c r="M63" s="53"/>
      <c r="N63" s="53"/>
    </row>
    <row r="64" spans="1:16" ht="15.75" thickBot="1">
      <c r="D64" s="15"/>
      <c r="I64" s="15"/>
      <c r="J64" s="15"/>
      <c r="K64" s="15"/>
      <c r="L64" s="15"/>
      <c r="M64" s="15"/>
      <c r="N64" s="15"/>
    </row>
    <row r="65" spans="1:13" ht="15.75" thickBot="1">
      <c r="A65" s="23" t="s">
        <v>125</v>
      </c>
      <c r="B65" s="59" t="s">
        <v>123</v>
      </c>
      <c r="C65" s="36" t="s">
        <v>124</v>
      </c>
      <c r="D65" s="43"/>
      <c r="E65" s="390" t="s">
        <v>424</v>
      </c>
      <c r="G65" s="15"/>
      <c r="H65" s="53"/>
      <c r="I65" s="53"/>
      <c r="J65" s="53"/>
      <c r="K65" s="55"/>
      <c r="L65" s="53"/>
      <c r="M65" s="53"/>
    </row>
    <row r="66" spans="1:13">
      <c r="A66" s="37" t="s">
        <v>105</v>
      </c>
      <c r="B66" s="135">
        <v>1092</v>
      </c>
      <c r="C66" s="38">
        <v>92</v>
      </c>
      <c r="D66" s="52"/>
      <c r="E66" s="15"/>
      <c r="F66" s="15"/>
      <c r="G66" s="15"/>
      <c r="H66" s="53"/>
      <c r="I66" s="53"/>
      <c r="J66" s="54"/>
      <c r="K66" s="55"/>
      <c r="L66" s="53"/>
      <c r="M66" s="53"/>
    </row>
    <row r="67" spans="1:13">
      <c r="A67" s="40" t="s">
        <v>106</v>
      </c>
      <c r="B67" s="427">
        <v>811</v>
      </c>
      <c r="C67" s="41">
        <v>36</v>
      </c>
      <c r="D67" s="52"/>
      <c r="E67" s="401"/>
      <c r="F67" s="401"/>
      <c r="G67" s="15"/>
      <c r="H67" s="53"/>
      <c r="I67" s="53"/>
      <c r="J67" s="54"/>
      <c r="K67" s="55"/>
      <c r="L67" s="53"/>
      <c r="M67" s="53"/>
    </row>
    <row r="68" spans="1:13">
      <c r="A68" s="40" t="s">
        <v>107</v>
      </c>
      <c r="B68" s="427">
        <v>804</v>
      </c>
      <c r="C68" s="41">
        <v>53</v>
      </c>
      <c r="D68" s="52"/>
      <c r="E68" s="401"/>
      <c r="F68" s="401"/>
      <c r="G68" s="15"/>
      <c r="H68" s="53"/>
      <c r="I68" s="53"/>
      <c r="J68" s="54"/>
      <c r="K68" s="55"/>
      <c r="L68" s="53"/>
      <c r="M68" s="53"/>
    </row>
    <row r="69" spans="1:13">
      <c r="A69" s="40" t="s">
        <v>108</v>
      </c>
      <c r="B69" s="427">
        <v>918</v>
      </c>
      <c r="C69" s="41">
        <v>115</v>
      </c>
      <c r="D69" s="52"/>
      <c r="E69" s="401"/>
      <c r="F69" s="401"/>
      <c r="G69" s="15"/>
      <c r="H69" s="53"/>
      <c r="I69" s="53"/>
      <c r="J69" s="54"/>
      <c r="K69" s="55"/>
      <c r="L69" s="53"/>
      <c r="M69" s="53"/>
    </row>
    <row r="70" spans="1:13">
      <c r="A70" s="40" t="s">
        <v>111</v>
      </c>
      <c r="B70" s="427">
        <v>1093</v>
      </c>
      <c r="C70" s="41">
        <v>18</v>
      </c>
      <c r="D70" s="52"/>
      <c r="E70" s="401"/>
      <c r="F70" s="401"/>
      <c r="G70" s="15"/>
      <c r="H70" s="53"/>
      <c r="I70" s="53"/>
      <c r="J70" s="54"/>
      <c r="K70" s="55"/>
      <c r="L70" s="53"/>
      <c r="M70" s="53"/>
    </row>
    <row r="71" spans="1:13" ht="15.75" thickBot="1">
      <c r="A71" s="57" t="s">
        <v>114</v>
      </c>
      <c r="B71" s="138">
        <v>809</v>
      </c>
      <c r="C71" s="58">
        <v>43</v>
      </c>
      <c r="D71" s="52"/>
      <c r="E71" s="401"/>
      <c r="F71" s="401"/>
      <c r="G71" s="15"/>
      <c r="H71" s="15"/>
      <c r="I71" s="15"/>
      <c r="J71" s="15"/>
      <c r="K71" s="15"/>
      <c r="L71" s="15"/>
      <c r="M71" s="15"/>
    </row>
    <row r="72" spans="1:13" ht="15.75" thickBot="1">
      <c r="D72" s="15"/>
      <c r="E72" s="401"/>
      <c r="F72" s="401"/>
    </row>
    <row r="73" spans="1:13" ht="15.75" thickBot="1">
      <c r="A73" s="24" t="s">
        <v>126</v>
      </c>
      <c r="B73" s="380" t="s">
        <v>123</v>
      </c>
      <c r="C73" s="36" t="s">
        <v>124</v>
      </c>
      <c r="D73" s="43"/>
      <c r="E73" s="15"/>
      <c r="F73" s="15"/>
    </row>
    <row r="74" spans="1:13">
      <c r="A74" s="63">
        <v>1</v>
      </c>
      <c r="B74" s="135">
        <v>117</v>
      </c>
      <c r="C74" s="38">
        <v>15</v>
      </c>
      <c r="D74" s="52"/>
      <c r="E74" s="401"/>
      <c r="F74" s="401"/>
    </row>
    <row r="75" spans="1:13">
      <c r="A75" s="40">
        <v>2</v>
      </c>
      <c r="B75" s="382">
        <v>121</v>
      </c>
      <c r="C75" s="41">
        <v>501</v>
      </c>
      <c r="D75" s="52"/>
      <c r="E75" s="401"/>
      <c r="F75" s="401"/>
    </row>
    <row r="76" spans="1:13" ht="15.75" thickBot="1">
      <c r="A76" s="57">
        <v>3</v>
      </c>
      <c r="B76" s="138">
        <v>123</v>
      </c>
      <c r="C76" s="58">
        <v>3</v>
      </c>
      <c r="D76" s="52"/>
      <c r="E76" s="401"/>
      <c r="F76" s="401"/>
    </row>
    <row r="77" spans="1:13" ht="15.75" thickBot="1"/>
    <row r="78" spans="1:13">
      <c r="A78" s="486" t="s">
        <v>127</v>
      </c>
      <c r="B78" s="486"/>
      <c r="C78" s="486" t="s">
        <v>128</v>
      </c>
      <c r="D78" s="486"/>
    </row>
    <row r="79" spans="1:13">
      <c r="A79" s="23" t="s">
        <v>129</v>
      </c>
      <c r="B79" s="24" t="s">
        <v>130</v>
      </c>
      <c r="C79" s="23" t="s">
        <v>129</v>
      </c>
      <c r="D79" s="24" t="s">
        <v>130</v>
      </c>
    </row>
    <row r="80" spans="1:13">
      <c r="A80" s="63" t="s">
        <v>131</v>
      </c>
      <c r="B80" s="38">
        <v>121</v>
      </c>
      <c r="C80" s="63" t="s">
        <v>131</v>
      </c>
      <c r="D80" s="38">
        <v>121</v>
      </c>
    </row>
    <row r="81" spans="1:17">
      <c r="A81" s="40" t="s">
        <v>134</v>
      </c>
      <c r="B81" s="41">
        <v>114</v>
      </c>
      <c r="C81" s="40" t="s">
        <v>134</v>
      </c>
      <c r="D81" s="41">
        <v>133</v>
      </c>
    </row>
    <row r="82" spans="1:17">
      <c r="A82" s="57" t="s">
        <v>137</v>
      </c>
      <c r="B82" s="58">
        <v>117</v>
      </c>
      <c r="C82" s="57" t="s">
        <v>137</v>
      </c>
      <c r="D82" s="58">
        <v>125</v>
      </c>
    </row>
    <row r="86" spans="1:17">
      <c r="A86" s="67">
        <v>40831</v>
      </c>
      <c r="B86" s="506"/>
      <c r="C86" s="506"/>
      <c r="D86" s="507"/>
      <c r="E86" s="507"/>
      <c r="I86" s="140" t="s">
        <v>531</v>
      </c>
      <c r="J86">
        <v>1034111122</v>
      </c>
    </row>
    <row r="87" spans="1:17" ht="15.75" thickBot="1">
      <c r="A87" s="43"/>
      <c r="B87" s="504" t="s">
        <v>145</v>
      </c>
      <c r="C87" s="504"/>
      <c r="D87" s="505" t="s">
        <v>146</v>
      </c>
      <c r="E87" s="505"/>
      <c r="F87" s="486" t="s">
        <v>147</v>
      </c>
      <c r="G87" s="486"/>
      <c r="N87" s="15"/>
      <c r="O87" s="506"/>
      <c r="P87" s="506"/>
      <c r="Q87" s="15"/>
    </row>
    <row r="88" spans="1:17" ht="15.75" thickBot="1">
      <c r="A88" s="24" t="s">
        <v>148</v>
      </c>
      <c r="B88" s="36" t="s">
        <v>149</v>
      </c>
      <c r="C88" s="59" t="s">
        <v>150</v>
      </c>
      <c r="D88" s="24" t="s">
        <v>149</v>
      </c>
      <c r="E88" s="23" t="s">
        <v>150</v>
      </c>
      <c r="F88" s="36" t="s">
        <v>149</v>
      </c>
      <c r="G88" s="36" t="s">
        <v>151</v>
      </c>
      <c r="I88" s="467" t="s">
        <v>567</v>
      </c>
      <c r="N88" s="15"/>
      <c r="O88" s="15"/>
      <c r="P88" s="15"/>
      <c r="Q88" s="15"/>
    </row>
    <row r="89" spans="1:17">
      <c r="A89" s="63" t="s">
        <v>55</v>
      </c>
      <c r="B89" s="68">
        <v>-65.296199664473505</v>
      </c>
      <c r="C89" s="69">
        <v>4.04987430735462</v>
      </c>
      <c r="D89" s="70">
        <v>-380.64811138808699</v>
      </c>
      <c r="E89" s="71">
        <v>24.431429509522399</v>
      </c>
      <c r="F89" s="72">
        <f t="shared" ref="F89:F100" si="0">B89-D89</f>
        <v>315.35191172361351</v>
      </c>
      <c r="G89" s="73">
        <f t="shared" ref="G89:G94" si="1">F89/840</f>
        <v>0.37541894252811131</v>
      </c>
      <c r="I89" s="1" t="s">
        <v>565</v>
      </c>
      <c r="J89">
        <v>1034378404</v>
      </c>
      <c r="N89" s="15"/>
      <c r="O89" s="15"/>
      <c r="P89" s="15"/>
      <c r="Q89" s="15"/>
    </row>
    <row r="90" spans="1:17">
      <c r="A90" s="40" t="s">
        <v>61</v>
      </c>
      <c r="B90" s="74">
        <v>-446.97749837487902</v>
      </c>
      <c r="C90" s="75">
        <v>4.5113285164181702</v>
      </c>
      <c r="D90" s="76">
        <v>-736.17087885737396</v>
      </c>
      <c r="E90" s="77">
        <v>19.1736048744568</v>
      </c>
      <c r="F90" s="78">
        <f t="shared" si="0"/>
        <v>289.19338048249494</v>
      </c>
      <c r="G90" s="79">
        <f t="shared" si="1"/>
        <v>0.34427783390773209</v>
      </c>
      <c r="I90" s="1" t="s">
        <v>566</v>
      </c>
      <c r="J90">
        <v>1034380502</v>
      </c>
      <c r="N90" s="15"/>
      <c r="O90" s="15"/>
      <c r="P90" s="15"/>
      <c r="Q90" s="15"/>
    </row>
    <row r="91" spans="1:17">
      <c r="A91" s="40" t="s">
        <v>67</v>
      </c>
      <c r="B91" s="74">
        <v>-2320.88824307919</v>
      </c>
      <c r="C91" s="75">
        <v>4.2375644481872303</v>
      </c>
      <c r="D91" s="76">
        <v>-1694.0555318146901</v>
      </c>
      <c r="E91" s="77">
        <v>29.647413073547401</v>
      </c>
      <c r="F91" s="78">
        <f t="shared" si="0"/>
        <v>-626.83271126449995</v>
      </c>
      <c r="G91" s="79">
        <f t="shared" si="1"/>
        <v>-0.74622941817202371</v>
      </c>
      <c r="N91" s="15"/>
      <c r="O91" s="43"/>
      <c r="P91" s="15"/>
      <c r="Q91" s="15"/>
    </row>
    <row r="92" spans="1:17">
      <c r="A92" s="40" t="s">
        <v>73</v>
      </c>
      <c r="B92" s="74">
        <v>416.81253247335599</v>
      </c>
      <c r="C92" s="75">
        <v>6.5834572253685097</v>
      </c>
      <c r="D92" s="76">
        <v>-1302.17190653086</v>
      </c>
      <c r="E92" s="77">
        <v>30.5017402941473</v>
      </c>
      <c r="F92" s="78">
        <f t="shared" si="0"/>
        <v>1718.984439004216</v>
      </c>
      <c r="G92" s="79">
        <f t="shared" si="1"/>
        <v>2.0464100464335906</v>
      </c>
      <c r="N92" s="15"/>
      <c r="O92" s="80"/>
      <c r="P92" s="15"/>
      <c r="Q92" s="15"/>
    </row>
    <row r="93" spans="1:17">
      <c r="A93" s="40" t="s">
        <v>79</v>
      </c>
      <c r="B93" s="74">
        <v>676.91779520362604</v>
      </c>
      <c r="C93" s="75">
        <v>5.1664739519743303</v>
      </c>
      <c r="D93" s="76">
        <v>-175.38616669829901</v>
      </c>
      <c r="E93" s="77">
        <v>38.473289202210999</v>
      </c>
      <c r="F93" s="78">
        <f t="shared" si="0"/>
        <v>852.30396190192505</v>
      </c>
      <c r="G93" s="79">
        <f t="shared" si="1"/>
        <v>1.0146475736927678</v>
      </c>
      <c r="N93" s="15"/>
      <c r="O93" s="80"/>
      <c r="P93" s="15"/>
      <c r="Q93" s="15"/>
    </row>
    <row r="94" spans="1:17" ht="15.75" thickBot="1">
      <c r="A94" s="57" t="s">
        <v>85</v>
      </c>
      <c r="B94" s="81">
        <v>772.73686338961102</v>
      </c>
      <c r="C94" s="82">
        <v>8.1359200179015705</v>
      </c>
      <c r="D94" s="83">
        <v>-731.30859947949705</v>
      </c>
      <c r="E94" s="84">
        <v>45.6314885254058</v>
      </c>
      <c r="F94" s="85">
        <f t="shared" si="0"/>
        <v>1504.0454628691082</v>
      </c>
      <c r="G94" s="86">
        <f t="shared" si="1"/>
        <v>1.7905303129394146</v>
      </c>
      <c r="N94" s="15"/>
      <c r="O94" s="80"/>
      <c r="P94" s="15"/>
      <c r="Q94" s="15"/>
    </row>
    <row r="95" spans="1:17">
      <c r="A95" s="37" t="s">
        <v>57</v>
      </c>
      <c r="B95" s="87">
        <v>617.71260345727205</v>
      </c>
      <c r="C95" s="88">
        <v>21.297779077888499</v>
      </c>
      <c r="D95" s="89">
        <v>1026.3147635683399</v>
      </c>
      <c r="E95" s="90">
        <v>40.245171861094903</v>
      </c>
      <c r="F95" s="72">
        <f t="shared" si="0"/>
        <v>-408.60216011106786</v>
      </c>
      <c r="G95" s="91">
        <f t="shared" ref="G95:G100" si="2">F95/(4*840)</f>
        <v>-0.12160778574734163</v>
      </c>
      <c r="N95" s="15"/>
      <c r="O95" s="80"/>
      <c r="P95" s="15"/>
      <c r="Q95" s="15"/>
    </row>
    <row r="96" spans="1:17">
      <c r="A96" s="40" t="s">
        <v>63</v>
      </c>
      <c r="B96" s="74">
        <v>-355.33473083749402</v>
      </c>
      <c r="C96" s="75">
        <v>20.667490567062</v>
      </c>
      <c r="D96" s="76">
        <v>-1966.4122402221001</v>
      </c>
      <c r="E96" s="77">
        <v>32.983665874133699</v>
      </c>
      <c r="F96" s="78">
        <f t="shared" si="0"/>
        <v>1611.0775093846059</v>
      </c>
      <c r="G96" s="79">
        <f t="shared" si="2"/>
        <v>0.47948735398351366</v>
      </c>
      <c r="N96" s="15"/>
      <c r="O96" s="80"/>
      <c r="P96" s="15"/>
      <c r="Q96" s="15"/>
    </row>
    <row r="97" spans="1:17">
      <c r="A97" s="40" t="s">
        <v>69</v>
      </c>
      <c r="B97" s="74">
        <v>-509.88015552982699</v>
      </c>
      <c r="C97" s="75">
        <v>18.718848076384798</v>
      </c>
      <c r="D97" s="76">
        <v>-412.890608258545</v>
      </c>
      <c r="E97" s="77">
        <v>28.515435372791</v>
      </c>
      <c r="F97" s="78">
        <f t="shared" si="0"/>
        <v>-96.989547271281992</v>
      </c>
      <c r="G97" s="79">
        <f t="shared" si="2"/>
        <v>-2.8865936687881545E-2</v>
      </c>
      <c r="N97" s="15"/>
      <c r="O97" s="80"/>
      <c r="P97" s="15"/>
      <c r="Q97" s="15"/>
    </row>
    <row r="98" spans="1:17">
      <c r="A98" s="40" t="s">
        <v>75</v>
      </c>
      <c r="B98" s="74">
        <v>133.01690076012201</v>
      </c>
      <c r="C98" s="75">
        <v>21.519957312702399</v>
      </c>
      <c r="D98" s="76">
        <v>1424.32356734574</v>
      </c>
      <c r="E98" s="77">
        <v>80.287465029285698</v>
      </c>
      <c r="F98" s="78">
        <f t="shared" si="0"/>
        <v>-1291.3066665856179</v>
      </c>
      <c r="G98" s="79">
        <f t="shared" si="2"/>
        <v>-0.38431746029333869</v>
      </c>
      <c r="N98" s="15"/>
      <c r="O98" s="15"/>
      <c r="P98" s="15"/>
      <c r="Q98" s="15"/>
    </row>
    <row r="99" spans="1:17">
      <c r="A99" s="40" t="s">
        <v>81</v>
      </c>
      <c r="B99" s="74">
        <v>1653.50516748428</v>
      </c>
      <c r="C99" s="75">
        <v>33.949577684490301</v>
      </c>
      <c r="D99" s="76">
        <v>226.01341095779199</v>
      </c>
      <c r="E99" s="77">
        <v>93.679454726181902</v>
      </c>
      <c r="F99" s="78">
        <f t="shared" si="0"/>
        <v>1427.491756526488</v>
      </c>
      <c r="G99" s="79">
        <f t="shared" si="2"/>
        <v>0.42484873706145476</v>
      </c>
      <c r="N99" s="15"/>
      <c r="O99" s="15"/>
      <c r="P99" s="15"/>
      <c r="Q99" s="15"/>
    </row>
    <row r="100" spans="1:17" ht="15.75" thickBot="1">
      <c r="A100" s="57" t="s">
        <v>87</v>
      </c>
      <c r="B100" s="81">
        <v>-691.12979067116999</v>
      </c>
      <c r="C100" s="82">
        <v>15.0790503908016</v>
      </c>
      <c r="D100" s="83">
        <v>398.78020662814401</v>
      </c>
      <c r="E100" s="84">
        <v>119.728571100175</v>
      </c>
      <c r="F100" s="85">
        <f t="shared" si="0"/>
        <v>-1089.909997299314</v>
      </c>
      <c r="G100" s="86">
        <f t="shared" si="2"/>
        <v>-0.3243779753867006</v>
      </c>
      <c r="N100" s="15"/>
      <c r="O100" s="15"/>
      <c r="P100" s="15"/>
      <c r="Q100" s="15"/>
    </row>
    <row r="101" spans="1:17">
      <c r="A101" s="43"/>
      <c r="B101" s="92"/>
      <c r="C101" s="18"/>
      <c r="D101" s="15"/>
      <c r="E101" s="15"/>
      <c r="F101" s="15"/>
      <c r="G101" s="15"/>
      <c r="H101" s="15"/>
      <c r="N101" s="15"/>
      <c r="O101" s="15"/>
      <c r="P101" s="15"/>
      <c r="Q101" s="15"/>
    </row>
    <row r="102" spans="1:17">
      <c r="N102" s="15"/>
      <c r="O102" s="15"/>
      <c r="P102" s="15"/>
      <c r="Q102" s="15"/>
    </row>
    <row r="103" spans="1:17">
      <c r="N103" s="15"/>
      <c r="O103" s="15"/>
      <c r="P103" s="15"/>
      <c r="Q103" s="15"/>
    </row>
    <row r="104" spans="1:17">
      <c r="D104" s="43"/>
    </row>
    <row r="106" spans="1:17" ht="15.75" thickBot="1">
      <c r="A106" s="23" t="s">
        <v>148</v>
      </c>
      <c r="B106" s="93" t="s">
        <v>152</v>
      </c>
      <c r="C106" s="59" t="s">
        <v>153</v>
      </c>
      <c r="D106" s="64" t="s">
        <v>154</v>
      </c>
      <c r="E106" s="64" t="s">
        <v>154</v>
      </c>
      <c r="F106" s="94" t="s">
        <v>155</v>
      </c>
      <c r="G106" s="36" t="s">
        <v>156</v>
      </c>
    </row>
    <row r="107" spans="1:17">
      <c r="A107" s="63" t="s">
        <v>55</v>
      </c>
      <c r="B107" s="95">
        <v>-16000</v>
      </c>
      <c r="C107" s="461">
        <v>18500</v>
      </c>
      <c r="D107" s="458">
        <f t="shared" ref="D107:E111" si="3">B107/840</f>
        <v>-19.047619047619047</v>
      </c>
      <c r="E107" s="96">
        <f t="shared" si="3"/>
        <v>22.023809523809526</v>
      </c>
      <c r="F107" s="97"/>
      <c r="G107" s="98"/>
    </row>
    <row r="108" spans="1:17">
      <c r="A108" s="40" t="s">
        <v>61</v>
      </c>
      <c r="B108" s="99">
        <v>-16500</v>
      </c>
      <c r="C108" s="462">
        <v>17500</v>
      </c>
      <c r="D108" s="124">
        <f t="shared" si="3"/>
        <v>-19.642857142857142</v>
      </c>
      <c r="E108" s="78">
        <f t="shared" si="3"/>
        <v>20.833333333333332</v>
      </c>
      <c r="F108" s="100"/>
      <c r="G108" s="101"/>
    </row>
    <row r="109" spans="1:17">
      <c r="A109" s="40" t="s">
        <v>67</v>
      </c>
      <c r="B109" s="99">
        <v>-19000</v>
      </c>
      <c r="C109" s="462">
        <v>16800</v>
      </c>
      <c r="D109" s="124">
        <f t="shared" si="3"/>
        <v>-22.61904761904762</v>
      </c>
      <c r="E109" s="78">
        <f t="shared" si="3"/>
        <v>20</v>
      </c>
      <c r="F109" s="100"/>
      <c r="G109" s="101"/>
    </row>
    <row r="110" spans="1:17">
      <c r="A110" s="40" t="s">
        <v>73</v>
      </c>
      <c r="B110" s="99">
        <v>-20000</v>
      </c>
      <c r="C110" s="462">
        <v>21000</v>
      </c>
      <c r="D110" s="124">
        <f t="shared" si="3"/>
        <v>-23.80952380952381</v>
      </c>
      <c r="E110" s="78">
        <f t="shared" si="3"/>
        <v>25</v>
      </c>
      <c r="F110" s="100"/>
      <c r="G110" s="101"/>
    </row>
    <row r="111" spans="1:17" ht="15" customHeight="1">
      <c r="A111" s="40" t="s">
        <v>79</v>
      </c>
      <c r="B111" s="99">
        <v>-28400</v>
      </c>
      <c r="C111" s="462">
        <v>18600</v>
      </c>
      <c r="D111" s="124">
        <f t="shared" si="3"/>
        <v>-33.80952380952381</v>
      </c>
      <c r="E111" s="78">
        <f t="shared" si="3"/>
        <v>22.142857142857142</v>
      </c>
      <c r="F111" s="100"/>
      <c r="G111" s="101"/>
    </row>
    <row r="112" spans="1:17" ht="15.75" thickBot="1">
      <c r="A112" s="57" t="s">
        <v>85</v>
      </c>
      <c r="B112" s="102">
        <v>-24700</v>
      </c>
      <c r="C112" s="463">
        <v>20700</v>
      </c>
      <c r="D112" s="459">
        <f>B112/840</f>
        <v>-29.404761904761905</v>
      </c>
      <c r="E112" s="422">
        <f>C112/840</f>
        <v>24.642857142857142</v>
      </c>
      <c r="F112" s="103"/>
      <c r="G112" s="104"/>
    </row>
    <row r="113" spans="1:7">
      <c r="A113" s="37" t="s">
        <v>57</v>
      </c>
      <c r="B113" s="294" t="s">
        <v>568</v>
      </c>
      <c r="C113" s="460" t="s">
        <v>568</v>
      </c>
      <c r="D113" s="464"/>
      <c r="E113" s="464"/>
      <c r="F113" s="453" t="s">
        <v>578</v>
      </c>
      <c r="G113" s="38"/>
    </row>
    <row r="114" spans="1:7">
      <c r="A114" s="40" t="s">
        <v>63</v>
      </c>
      <c r="B114" s="297" t="s">
        <v>568</v>
      </c>
      <c r="C114" s="444" t="s">
        <v>568</v>
      </c>
      <c r="D114" s="465"/>
      <c r="E114" s="465"/>
      <c r="F114" s="482" t="s">
        <v>578</v>
      </c>
      <c r="G114" s="41"/>
    </row>
    <row r="115" spans="1:7">
      <c r="A115" s="40" t="s">
        <v>69</v>
      </c>
      <c r="B115" s="297" t="s">
        <v>568</v>
      </c>
      <c r="C115" s="444" t="s">
        <v>568</v>
      </c>
      <c r="D115" s="465"/>
      <c r="E115" s="465"/>
      <c r="F115" s="482" t="s">
        <v>578</v>
      </c>
      <c r="G115" s="41"/>
    </row>
    <row r="116" spans="1:7">
      <c r="A116" s="40" t="s">
        <v>75</v>
      </c>
      <c r="B116" s="297" t="s">
        <v>568</v>
      </c>
      <c r="C116" s="444" t="s">
        <v>568</v>
      </c>
      <c r="D116" s="465"/>
      <c r="E116" s="465"/>
      <c r="F116" s="482" t="s">
        <v>578</v>
      </c>
      <c r="G116" s="41"/>
    </row>
    <row r="117" spans="1:7">
      <c r="A117" s="40" t="s">
        <v>81</v>
      </c>
      <c r="B117" s="297" t="s">
        <v>568</v>
      </c>
      <c r="C117" s="444" t="s">
        <v>568</v>
      </c>
      <c r="D117" s="465"/>
      <c r="E117" s="465"/>
      <c r="F117" s="482" t="s">
        <v>578</v>
      </c>
      <c r="G117" s="41"/>
    </row>
    <row r="118" spans="1:7">
      <c r="A118" s="57" t="s">
        <v>87</v>
      </c>
      <c r="B118" s="301" t="s">
        <v>568</v>
      </c>
      <c r="C118" s="446" t="s">
        <v>568</v>
      </c>
      <c r="D118" s="466"/>
      <c r="E118" s="466"/>
      <c r="F118" s="483" t="s">
        <v>578</v>
      </c>
      <c r="G118" s="328"/>
    </row>
    <row r="122" spans="1:7" ht="15.75" thickBot="1">
      <c r="A122" s="110" t="s">
        <v>157</v>
      </c>
      <c r="B122" s="111" t="s">
        <v>158</v>
      </c>
      <c r="C122" s="64" t="s">
        <v>159</v>
      </c>
      <c r="D122" s="112" t="s">
        <v>160</v>
      </c>
      <c r="E122" s="113" t="s">
        <v>161</v>
      </c>
      <c r="F122" s="114" t="s">
        <v>151</v>
      </c>
    </row>
    <row r="123" spans="1:7">
      <c r="A123" s="115" t="s">
        <v>55</v>
      </c>
      <c r="B123" s="116">
        <v>-16166.652</v>
      </c>
      <c r="C123" s="117">
        <v>-389</v>
      </c>
      <c r="D123" s="118">
        <v>15517.814</v>
      </c>
      <c r="E123" s="72">
        <f t="shared" ref="E123:E134" si="4">D123-B123</f>
        <v>31684.466</v>
      </c>
      <c r="F123" s="119">
        <f t="shared" ref="F123:F128" si="5">E123/840</f>
        <v>37.719602380952381</v>
      </c>
    </row>
    <row r="124" spans="1:7">
      <c r="A124" s="120" t="s">
        <v>61</v>
      </c>
      <c r="B124" s="121">
        <v>-15691.58</v>
      </c>
      <c r="C124" s="122">
        <v>-734</v>
      </c>
      <c r="D124" s="123">
        <v>15252.998</v>
      </c>
      <c r="E124" s="78">
        <f t="shared" si="4"/>
        <v>30944.578000000001</v>
      </c>
      <c r="F124" s="124">
        <f t="shared" si="5"/>
        <v>36.838783333333332</v>
      </c>
    </row>
    <row r="125" spans="1:7">
      <c r="A125" s="120" t="s">
        <v>67</v>
      </c>
      <c r="B125" s="121">
        <v>-17843.696</v>
      </c>
      <c r="C125" s="122">
        <v>-1689</v>
      </c>
      <c r="D125" s="123">
        <v>13648.566000000001</v>
      </c>
      <c r="E125" s="78">
        <f t="shared" si="4"/>
        <v>31492.262000000002</v>
      </c>
      <c r="F125" s="124">
        <f t="shared" si="5"/>
        <v>37.490788095238095</v>
      </c>
    </row>
    <row r="126" spans="1:7">
      <c r="A126" s="120" t="s">
        <v>73</v>
      </c>
      <c r="B126" s="121">
        <v>-14068.343999999999</v>
      </c>
      <c r="C126" s="122">
        <v>-1292</v>
      </c>
      <c r="D126" s="123">
        <v>11448.924000000001</v>
      </c>
      <c r="E126" s="78">
        <f t="shared" si="4"/>
        <v>25517.268</v>
      </c>
      <c r="F126" s="124">
        <f t="shared" si="5"/>
        <v>30.377700000000001</v>
      </c>
    </row>
    <row r="127" spans="1:7">
      <c r="A127" s="120" t="s">
        <v>79</v>
      </c>
      <c r="B127" s="121">
        <v>-13099.121999999999</v>
      </c>
      <c r="C127" s="122">
        <v>-202</v>
      </c>
      <c r="D127" s="123">
        <v>12701.188</v>
      </c>
      <c r="E127" s="78">
        <f t="shared" si="4"/>
        <v>25800.309999999998</v>
      </c>
      <c r="F127" s="124">
        <f t="shared" si="5"/>
        <v>30.714654761904757</v>
      </c>
    </row>
    <row r="128" spans="1:7">
      <c r="A128" s="120" t="s">
        <v>85</v>
      </c>
      <c r="B128" s="121">
        <v>-13212.201999999999</v>
      </c>
      <c r="C128" s="122">
        <v>-369</v>
      </c>
      <c r="D128" s="123">
        <v>12482.87</v>
      </c>
      <c r="E128" s="78">
        <f t="shared" si="4"/>
        <v>25695.072</v>
      </c>
      <c r="F128" s="124">
        <f t="shared" si="5"/>
        <v>30.589371428571429</v>
      </c>
    </row>
    <row r="129" spans="1:37">
      <c r="A129" s="120" t="s">
        <v>57</v>
      </c>
      <c r="B129" s="121">
        <v>-8375.4341999999997</v>
      </c>
      <c r="C129" s="122">
        <v>1025</v>
      </c>
      <c r="D129" s="123">
        <v>10426.034</v>
      </c>
      <c r="E129" s="78">
        <f t="shared" si="4"/>
        <v>18801.468199999999</v>
      </c>
      <c r="F129" s="313">
        <f t="shared" ref="F129:F134" si="6">E129/(4*840)</f>
        <v>5.5956750595238089</v>
      </c>
    </row>
    <row r="130" spans="1:37">
      <c r="A130" s="120" t="s">
        <v>63</v>
      </c>
      <c r="B130" s="121">
        <v>-10695.92</v>
      </c>
      <c r="C130" s="122">
        <v>-1723</v>
      </c>
      <c r="D130" s="123">
        <v>7202.2272000000003</v>
      </c>
      <c r="E130" s="78">
        <f t="shared" si="4"/>
        <v>17898.147199999999</v>
      </c>
      <c r="F130" s="313">
        <f t="shared" si="6"/>
        <v>5.3268295238095238</v>
      </c>
    </row>
    <row r="131" spans="1:37">
      <c r="A131" s="120" t="s">
        <v>69</v>
      </c>
      <c r="B131" s="121">
        <v>-9803.3708000000006</v>
      </c>
      <c r="C131" s="122">
        <v>-428</v>
      </c>
      <c r="D131" s="123">
        <v>8914.8485999999994</v>
      </c>
      <c r="E131" s="78">
        <f t="shared" si="4"/>
        <v>18718.219400000002</v>
      </c>
      <c r="F131" s="313">
        <f t="shared" si="6"/>
        <v>5.5708986309523816</v>
      </c>
    </row>
    <row r="132" spans="1:37">
      <c r="A132" s="120" t="s">
        <v>75</v>
      </c>
      <c r="B132" s="121">
        <v>-10005.800999999999</v>
      </c>
      <c r="C132" s="122">
        <v>1400</v>
      </c>
      <c r="D132" s="123">
        <v>12807.164000000001</v>
      </c>
      <c r="E132" s="78">
        <f t="shared" si="4"/>
        <v>22812.965</v>
      </c>
      <c r="F132" s="313">
        <f t="shared" si="6"/>
        <v>6.7895729166666667</v>
      </c>
    </row>
    <row r="133" spans="1:37">
      <c r="A133" s="120" t="s">
        <v>81</v>
      </c>
      <c r="B133" s="121">
        <v>-10874.164000000001</v>
      </c>
      <c r="C133" s="122">
        <v>224</v>
      </c>
      <c r="D133" s="123">
        <v>11290.846</v>
      </c>
      <c r="E133" s="78">
        <f t="shared" si="4"/>
        <v>22165.010000000002</v>
      </c>
      <c r="F133" s="313">
        <f t="shared" si="6"/>
        <v>6.596729166666667</v>
      </c>
    </row>
    <row r="134" spans="1:37" ht="15.75" thickBot="1">
      <c r="A134" s="125" t="s">
        <v>87</v>
      </c>
      <c r="B134" s="126">
        <v>-11119.938</v>
      </c>
      <c r="C134" s="127">
        <v>385</v>
      </c>
      <c r="D134" s="128">
        <v>11853.57</v>
      </c>
      <c r="E134" s="85">
        <f t="shared" si="4"/>
        <v>22973.508000000002</v>
      </c>
      <c r="F134" s="314">
        <f t="shared" si="6"/>
        <v>6.8373535714285723</v>
      </c>
    </row>
    <row r="138" spans="1:37" ht="15.75" thickBot="1">
      <c r="A138" s="42" t="s">
        <v>163</v>
      </c>
    </row>
    <row r="139" spans="1:37" ht="15.75" thickBot="1">
      <c r="A139" s="1" t="s">
        <v>164</v>
      </c>
      <c r="B139" s="2"/>
      <c r="C139" s="209" t="s">
        <v>165</v>
      </c>
      <c r="D139" s="211" t="s">
        <v>537</v>
      </c>
      <c r="E139" s="441" t="s">
        <v>538</v>
      </c>
      <c r="F139" s="111" t="s">
        <v>532</v>
      </c>
      <c r="G139" s="210" t="s">
        <v>533</v>
      </c>
      <c r="H139" s="210" t="s">
        <v>534</v>
      </c>
      <c r="I139" s="211" t="s">
        <v>536</v>
      </c>
      <c r="J139" s="441" t="s">
        <v>535</v>
      </c>
      <c r="K139" s="440" t="s">
        <v>166</v>
      </c>
      <c r="W139" s="1" t="s">
        <v>164</v>
      </c>
      <c r="X139" s="2"/>
      <c r="Y139" s="209" t="s">
        <v>165</v>
      </c>
      <c r="Z139" s="211" t="s">
        <v>537</v>
      </c>
      <c r="AA139" s="441" t="s">
        <v>538</v>
      </c>
      <c r="AB139" s="111" t="s">
        <v>532</v>
      </c>
      <c r="AC139" s="210" t="s">
        <v>533</v>
      </c>
      <c r="AD139" s="210" t="s">
        <v>534</v>
      </c>
      <c r="AE139" s="211" t="s">
        <v>536</v>
      </c>
      <c r="AF139" s="441" t="s">
        <v>535</v>
      </c>
      <c r="AG139" s="440" t="s">
        <v>166</v>
      </c>
      <c r="AH139" s="140"/>
      <c r="AI139" s="140"/>
      <c r="AJ139" s="140"/>
      <c r="AK139" s="140"/>
    </row>
    <row r="140" spans="1:37">
      <c r="A140" s="1" t="s">
        <v>167</v>
      </c>
      <c r="B140" s="134" t="s">
        <v>108</v>
      </c>
      <c r="C140" s="105">
        <v>1415</v>
      </c>
      <c r="D140" s="442">
        <v>1416</v>
      </c>
      <c r="E140" s="326">
        <f>AVERAGE(C140:D140)</f>
        <v>1415.5</v>
      </c>
      <c r="F140" s="439">
        <v>-25072</v>
      </c>
      <c r="G140" s="443">
        <v>-24978</v>
      </c>
      <c r="H140" s="443">
        <v>-25290</v>
      </c>
      <c r="I140" s="442">
        <v>-25695</v>
      </c>
      <c r="J140" s="326">
        <f>AVERAGE(F140:I140)</f>
        <v>-25258.75</v>
      </c>
      <c r="K140" s="60">
        <f>J140-E140</f>
        <v>-26674.25</v>
      </c>
      <c r="Q140" s="140">
        <f>15/0.458/(K140/$M$143*0.001)/3</f>
        <v>-1362.5609933332414</v>
      </c>
      <c r="R140">
        <f>($M$146+Q140)/$M$146</f>
        <v>6.9924236632599723E-2</v>
      </c>
      <c r="W140" s="1" t="s">
        <v>167</v>
      </c>
      <c r="X140" s="134" t="s">
        <v>108</v>
      </c>
      <c r="Y140" s="105">
        <v>6418</v>
      </c>
      <c r="Z140" s="442"/>
      <c r="AA140" s="326">
        <f>AVERAGE(Y140:Z140)</f>
        <v>6418</v>
      </c>
      <c r="AB140" s="439">
        <v>-20163</v>
      </c>
      <c r="AC140" s="443"/>
      <c r="AD140" s="443"/>
      <c r="AE140" s="442"/>
      <c r="AF140" s="326">
        <f>AVERAGE(AB140:AE140)</f>
        <v>-20163</v>
      </c>
      <c r="AG140" s="60">
        <f>AF140-AA140</f>
        <v>-26581</v>
      </c>
      <c r="AH140" s="140"/>
      <c r="AI140" s="140"/>
      <c r="AJ140" s="140"/>
      <c r="AK140" s="140"/>
    </row>
    <row r="141" spans="1:37">
      <c r="A141" s="423">
        <v>41194</v>
      </c>
      <c r="B141" s="136" t="s">
        <v>111</v>
      </c>
      <c r="C141" s="106">
        <v>1500</v>
      </c>
      <c r="D141" s="444">
        <v>1411</v>
      </c>
      <c r="E141" s="327">
        <f>AVERAGE(C141:D141)</f>
        <v>1455.5</v>
      </c>
      <c r="F141" s="296">
        <v>-24758</v>
      </c>
      <c r="G141" s="445">
        <v>-24846</v>
      </c>
      <c r="H141" s="445">
        <v>-24718</v>
      </c>
      <c r="I141" s="444">
        <v>-24405</v>
      </c>
      <c r="J141" s="327">
        <f>AVERAGE(F141:I141)</f>
        <v>-24681.75</v>
      </c>
      <c r="K141" s="61">
        <f>J141-E141</f>
        <v>-26137.25</v>
      </c>
      <c r="Q141" s="140">
        <f>15/0.458/(K141/$M$143*0.001)/3</f>
        <v>-1390.5553406123145</v>
      </c>
      <c r="R141" s="140">
        <f>($M$146+Q141)/$M$146</f>
        <v>5.0815467158829716E-2</v>
      </c>
      <c r="W141" s="423">
        <v>41194</v>
      </c>
      <c r="X141" s="136" t="s">
        <v>111</v>
      </c>
      <c r="Y141" s="106">
        <v>7746</v>
      </c>
      <c r="Z141" s="444"/>
      <c r="AA141" s="327">
        <f>AVERAGE(Y141:Z141)</f>
        <v>7746</v>
      </c>
      <c r="AB141" s="296">
        <v>-18467</v>
      </c>
      <c r="AC141" s="445"/>
      <c r="AD141" s="445"/>
      <c r="AE141" s="444"/>
      <c r="AF141" s="327">
        <f>AVERAGE(AB141:AE141)</f>
        <v>-18467</v>
      </c>
      <c r="AG141" s="61">
        <f>AF141-AA141</f>
        <v>-26213</v>
      </c>
      <c r="AH141" s="140"/>
      <c r="AI141" s="140"/>
      <c r="AJ141" s="140"/>
      <c r="AK141" s="140"/>
    </row>
    <row r="142" spans="1:37" ht="15.75" thickBot="1">
      <c r="B142" s="137" t="s">
        <v>114</v>
      </c>
      <c r="C142" s="108">
        <v>363</v>
      </c>
      <c r="D142" s="446">
        <v>352</v>
      </c>
      <c r="E142" s="328">
        <f>AVERAGE(C142:D142)</f>
        <v>357.5</v>
      </c>
      <c r="F142" s="300">
        <v>-27066</v>
      </c>
      <c r="G142" s="447">
        <v>-26993</v>
      </c>
      <c r="H142" s="447">
        <v>-26775</v>
      </c>
      <c r="I142" s="446">
        <v>-26788</v>
      </c>
      <c r="J142" s="328">
        <f>AVERAGE(F142:I142)</f>
        <v>-26905.5</v>
      </c>
      <c r="K142" s="62">
        <f>J142-E142</f>
        <v>-27263</v>
      </c>
      <c r="Q142" s="140">
        <f>15/0.458/(K142/$M$143*0.001)/3</f>
        <v>-1333.1362130513596</v>
      </c>
      <c r="R142" s="140">
        <f>($M$146+Q142)/$M$146</f>
        <v>9.0009410886443944E-2</v>
      </c>
      <c r="W142" s="1"/>
      <c r="X142" s="137" t="s">
        <v>114</v>
      </c>
      <c r="Y142" s="108">
        <v>-1624</v>
      </c>
      <c r="Z142" s="446"/>
      <c r="AA142" s="328">
        <f>AVERAGE(Y142:Z142)</f>
        <v>-1624</v>
      </c>
      <c r="AB142" s="300">
        <v>-28867</v>
      </c>
      <c r="AC142" s="447"/>
      <c r="AD142" s="447"/>
      <c r="AE142" s="446"/>
      <c r="AF142" s="328">
        <f>AVERAGE(AB142:AE142)</f>
        <v>-28867</v>
      </c>
      <c r="AG142" s="62">
        <f>AF142-AA142</f>
        <v>-27243</v>
      </c>
      <c r="AH142" s="140"/>
      <c r="AI142" s="140"/>
      <c r="AJ142" s="140"/>
      <c r="AK142" s="140"/>
    </row>
    <row r="143" spans="1:37">
      <c r="K143" s="139">
        <f>AVERAGE(K140:K142)</f>
        <v>-26691.5</v>
      </c>
      <c r="L143" t="s">
        <v>168</v>
      </c>
      <c r="M143" s="140">
        <f>N153*4</f>
        <v>3329.2287999999999</v>
      </c>
      <c r="N143" t="s">
        <v>169</v>
      </c>
      <c r="W143" s="1"/>
      <c r="X143" s="1"/>
      <c r="Y143" s="2"/>
      <c r="Z143" s="140"/>
      <c r="AA143" s="140"/>
      <c r="AB143" s="140"/>
      <c r="AC143" s="140"/>
      <c r="AD143" s="140"/>
      <c r="AE143" s="140"/>
      <c r="AF143" s="140"/>
      <c r="AG143" s="139">
        <f>AVERAGE(AG140:AG142)</f>
        <v>-26679</v>
      </c>
      <c r="AH143" s="140" t="s">
        <v>168</v>
      </c>
      <c r="AI143" s="140">
        <f>AJ153*4</f>
        <v>0</v>
      </c>
      <c r="AJ143" s="140" t="s">
        <v>169</v>
      </c>
      <c r="AK143" s="140"/>
    </row>
    <row r="144" spans="1:37">
      <c r="K144" s="141">
        <f>K143/M143</f>
        <v>-8.0173222098763528</v>
      </c>
      <c r="L144" t="s">
        <v>151</v>
      </c>
      <c r="W144" s="1"/>
      <c r="X144" s="1"/>
      <c r="Y144" s="2"/>
      <c r="Z144" s="140"/>
      <c r="AA144" s="140"/>
      <c r="AB144" s="140"/>
      <c r="AC144" s="140"/>
      <c r="AD144" s="140"/>
      <c r="AE144" s="140"/>
      <c r="AF144" s="140"/>
      <c r="AG144" s="141" t="e">
        <f>AG143/AI143</f>
        <v>#DIV/0!</v>
      </c>
      <c r="AH144" s="140" t="s">
        <v>151</v>
      </c>
      <c r="AI144" s="140"/>
      <c r="AJ144" s="140"/>
      <c r="AK144" s="140"/>
    </row>
    <row r="145" spans="1:37">
      <c r="K145" s="140">
        <f>15/0.458/(K144*0.001)/3</f>
        <v>-1361.6804067369467</v>
      </c>
      <c r="L145" t="s">
        <v>170</v>
      </c>
      <c r="M145" s="140">
        <f>2^15/20*40*2</f>
        <v>131072</v>
      </c>
      <c r="N145" t="s">
        <v>171</v>
      </c>
      <c r="W145" s="1"/>
      <c r="X145" s="1"/>
      <c r="Y145" s="2"/>
      <c r="Z145" s="140"/>
      <c r="AA145" s="140"/>
      <c r="AB145" s="140"/>
      <c r="AC145" s="140"/>
      <c r="AD145" s="140"/>
      <c r="AE145" s="140"/>
      <c r="AF145" s="140"/>
      <c r="AG145" s="140" t="e">
        <f>15/0.458/(AG144*0.001)/3</f>
        <v>#DIV/0!</v>
      </c>
      <c r="AH145" s="140" t="s">
        <v>170</v>
      </c>
      <c r="AI145" s="140">
        <f>2^15/20*40*2</f>
        <v>131072</v>
      </c>
      <c r="AJ145" s="140" t="s">
        <v>171</v>
      </c>
      <c r="AK145" s="140"/>
    </row>
    <row r="146" spans="1:37">
      <c r="K146" s="140">
        <f>100*(ABS(K145)-M146)/M146</f>
        <v>-7.0525319633483496</v>
      </c>
      <c r="L146" t="s">
        <v>172</v>
      </c>
      <c r="M146">
        <v>1465</v>
      </c>
      <c r="N146" t="s">
        <v>170</v>
      </c>
      <c r="O146" t="s">
        <v>173</v>
      </c>
      <c r="W146" s="1"/>
      <c r="X146" s="1"/>
      <c r="Y146" s="2"/>
      <c r="Z146" s="140"/>
      <c r="AA146" s="140"/>
      <c r="AB146" s="140"/>
      <c r="AC146" s="140"/>
      <c r="AD146" s="140"/>
      <c r="AE146" s="140"/>
      <c r="AF146" s="140"/>
      <c r="AG146" s="140" t="e">
        <f>100*(ABS(AG145)-AI146)/AI146</f>
        <v>#DIV/0!</v>
      </c>
      <c r="AH146" s="140" t="s">
        <v>172</v>
      </c>
      <c r="AI146" s="140">
        <v>1465</v>
      </c>
      <c r="AJ146" s="140" t="s">
        <v>170</v>
      </c>
      <c r="AK146" s="140" t="s">
        <v>173</v>
      </c>
    </row>
    <row r="148" spans="1:37" ht="15.75" thickBot="1">
      <c r="M148" s="140">
        <f>0.0254*M145</f>
        <v>3329.2287999999999</v>
      </c>
      <c r="N148" t="s">
        <v>174</v>
      </c>
    </row>
    <row r="149" spans="1:37" ht="15.75" thickBot="1">
      <c r="A149" s="1" t="s">
        <v>175</v>
      </c>
      <c r="C149" s="22" t="s">
        <v>165</v>
      </c>
      <c r="D149" s="449" t="s">
        <v>537</v>
      </c>
      <c r="E149" s="22" t="s">
        <v>543</v>
      </c>
      <c r="F149" s="450" t="s">
        <v>539</v>
      </c>
      <c r="G149" s="451" t="s">
        <v>540</v>
      </c>
      <c r="H149" s="452" t="s">
        <v>541</v>
      </c>
      <c r="I149" s="448" t="s">
        <v>542</v>
      </c>
      <c r="J149" s="449" t="s">
        <v>176</v>
      </c>
      <c r="K149" s="22" t="s">
        <v>177</v>
      </c>
      <c r="L149" s="453" t="s">
        <v>178</v>
      </c>
    </row>
    <row r="150" spans="1:37">
      <c r="B150" s="142" t="s">
        <v>108</v>
      </c>
      <c r="C150" s="41">
        <v>-1243</v>
      </c>
      <c r="D150" s="352"/>
      <c r="E150" s="327">
        <f>AVERAGE(C150:D150)</f>
        <v>-1243</v>
      </c>
      <c r="F150" s="454">
        <v>-8886</v>
      </c>
      <c r="G150" s="445">
        <v>-8903</v>
      </c>
      <c r="H150" s="444"/>
      <c r="I150" s="327">
        <f>AVERAGE(F150:H150)</f>
        <v>-8894.5</v>
      </c>
      <c r="J150" s="352"/>
      <c r="K150" s="327">
        <f>I150-C150</f>
        <v>-7651.5</v>
      </c>
      <c r="L150" s="455"/>
    </row>
    <row r="151" spans="1:37">
      <c r="B151" s="144" t="s">
        <v>111</v>
      </c>
      <c r="C151" s="41">
        <v>-187</v>
      </c>
      <c r="D151" s="352"/>
      <c r="E151" s="327">
        <f>AVERAGE(C151:D151)</f>
        <v>-187</v>
      </c>
      <c r="F151" s="454">
        <v>-7662</v>
      </c>
      <c r="G151" s="445">
        <v>-7964</v>
      </c>
      <c r="H151" s="444"/>
      <c r="I151" s="327">
        <f>AVERAGE(F151:H151)</f>
        <v>-7813</v>
      </c>
      <c r="J151" s="352"/>
      <c r="K151" s="327">
        <f>I151-C151</f>
        <v>-7626</v>
      </c>
      <c r="L151" s="455"/>
    </row>
    <row r="152" spans="1:37" ht="15.75" thickBot="1">
      <c r="B152" s="146" t="s">
        <v>114</v>
      </c>
      <c r="C152" s="58">
        <v>-398</v>
      </c>
      <c r="D152" s="433"/>
      <c r="E152" s="328">
        <f>AVERAGE(C152:D152)</f>
        <v>-398</v>
      </c>
      <c r="F152" s="456">
        <v>-8355</v>
      </c>
      <c r="G152" s="447">
        <v>-8031</v>
      </c>
      <c r="H152" s="446"/>
      <c r="I152" s="328">
        <f>AVERAGE(F152:H152)</f>
        <v>-8193</v>
      </c>
      <c r="J152" s="433"/>
      <c r="K152" s="328">
        <f>I152-C152</f>
        <v>-7795</v>
      </c>
      <c r="L152" s="457"/>
    </row>
    <row r="153" spans="1:37">
      <c r="K153" s="141">
        <f>AVERAGE(K150:K152)</f>
        <v>-7690.833333333333</v>
      </c>
      <c r="L153" s="140" t="e">
        <f>AVERAGE(L150:L152)</f>
        <v>#DIV/0!</v>
      </c>
      <c r="M153" t="s">
        <v>168</v>
      </c>
      <c r="N153" s="140">
        <f>M148/4</f>
        <v>832.30719999999997</v>
      </c>
      <c r="O153" t="s">
        <v>174</v>
      </c>
    </row>
    <row r="154" spans="1:37">
      <c r="K154" s="141">
        <f>K153/N153</f>
        <v>-9.2403782321399284</v>
      </c>
      <c r="L154" s="140" t="e">
        <f>L153/N153</f>
        <v>#DIV/0!</v>
      </c>
      <c r="M154" t="s">
        <v>151</v>
      </c>
      <c r="N154">
        <v>1241</v>
      </c>
      <c r="O154" t="s">
        <v>170</v>
      </c>
      <c r="P154" t="s">
        <v>179</v>
      </c>
    </row>
    <row r="155" spans="1:37">
      <c r="K155" s="141">
        <f>15/0.454/(K154*0.001)/3</f>
        <v>-1191.8576904919989</v>
      </c>
      <c r="L155" s="140" t="e">
        <f>30/0.454/(L154*0.001)/3</f>
        <v>#DIV/0!</v>
      </c>
      <c r="M155" s="140" t="s">
        <v>170</v>
      </c>
      <c r="N155" s="140">
        <f>(N154/0.454)/0.0254</f>
        <v>107617.32977210447</v>
      </c>
      <c r="O155" t="s">
        <v>180</v>
      </c>
    </row>
    <row r="156" spans="1:37" ht="15.75" thickBot="1">
      <c r="K156" s="141"/>
    </row>
    <row r="157" spans="1:37" ht="15.75" thickBot="1">
      <c r="B157" s="148" t="s">
        <v>148</v>
      </c>
      <c r="C157" s="23" t="s">
        <v>181</v>
      </c>
      <c r="D157" s="24" t="s">
        <v>182</v>
      </c>
      <c r="E157" s="24" t="s">
        <v>183</v>
      </c>
      <c r="K157" s="141">
        <f>100*(ABS(K155)-N154)/N154</f>
        <v>-3.9598960119259519</v>
      </c>
      <c r="L157" s="43" t="s">
        <v>172</v>
      </c>
    </row>
    <row r="158" spans="1:37">
      <c r="A158" s="484" t="s">
        <v>48</v>
      </c>
      <c r="B158" s="149" t="s">
        <v>108</v>
      </c>
      <c r="C158" s="150" t="e">
        <f>ABS(#REF!)</f>
        <v>#REF!</v>
      </c>
      <c r="D158" s="151" t="e">
        <f>ABS(C158*30.2*0.000000001)</f>
        <v>#REF!</v>
      </c>
      <c r="E158" s="151" t="e">
        <f>#REF!/D158</f>
        <v>#REF!</v>
      </c>
    </row>
    <row r="159" spans="1:37">
      <c r="A159" s="484"/>
      <c r="B159" s="149" t="s">
        <v>111</v>
      </c>
      <c r="C159" s="152" t="e">
        <f>ABS(#REF!)</f>
        <v>#REF!</v>
      </c>
      <c r="D159" s="153" t="e">
        <f>ABS(C159*30.2*0.000000001)</f>
        <v>#REF!</v>
      </c>
      <c r="E159" s="153" t="e">
        <f>#REF!/D159</f>
        <v>#REF!</v>
      </c>
    </row>
    <row r="160" spans="1:37">
      <c r="A160" s="484"/>
      <c r="B160" s="154" t="s">
        <v>114</v>
      </c>
      <c r="C160" s="155" t="e">
        <f>ABS(#REF!)</f>
        <v>#REF!</v>
      </c>
      <c r="D160" s="153" t="e">
        <f>ABS(C160*30.2*0.000000001)</f>
        <v>#REF!</v>
      </c>
      <c r="E160" s="156" t="e">
        <f>#REF!/D160</f>
        <v>#REF!</v>
      </c>
    </row>
    <row r="161" spans="1:12">
      <c r="C161" s="18"/>
      <c r="D161" s="157" t="s">
        <v>184</v>
      </c>
      <c r="E161" s="158" t="e">
        <f>SUM(E158:E160)</f>
        <v>#REF!</v>
      </c>
    </row>
    <row r="163" spans="1:12">
      <c r="B163" s="148" t="s">
        <v>148</v>
      </c>
      <c r="C163" s="23" t="s">
        <v>181</v>
      </c>
      <c r="D163" s="24" t="s">
        <v>182</v>
      </c>
      <c r="E163" s="24" t="s">
        <v>183</v>
      </c>
    </row>
    <row r="164" spans="1:12">
      <c r="A164" s="484" t="s">
        <v>49</v>
      </c>
      <c r="B164" s="149" t="s">
        <v>108</v>
      </c>
      <c r="C164" s="150">
        <f>ABS(H156)</f>
        <v>0</v>
      </c>
      <c r="D164" s="151">
        <f>ABS(C164*30.2*0.000000001)</f>
        <v>0</v>
      </c>
      <c r="E164" s="151" t="e">
        <f>#REF!/D164</f>
        <v>#REF!</v>
      </c>
    </row>
    <row r="165" spans="1:12">
      <c r="A165" s="484"/>
      <c r="B165" s="149" t="s">
        <v>111</v>
      </c>
      <c r="C165" s="152">
        <f>ABS(K157)</f>
        <v>3.9598960119259519</v>
      </c>
      <c r="D165" s="153">
        <f>ABS(C165*30.2*0.000000001)</f>
        <v>1.1958885956016374E-7</v>
      </c>
      <c r="E165" s="153" t="e">
        <f>#REF!/D165</f>
        <v>#REF!</v>
      </c>
    </row>
    <row r="166" spans="1:12">
      <c r="A166" s="484"/>
      <c r="B166" s="154" t="s">
        <v>114</v>
      </c>
      <c r="C166" s="155">
        <f>ABS(G158)</f>
        <v>0</v>
      </c>
      <c r="D166" s="153">
        <f>ABS(C166*30.2*0.000000001)</f>
        <v>0</v>
      </c>
      <c r="E166" s="156" t="e">
        <f>#REF!/D166</f>
        <v>#REF!</v>
      </c>
    </row>
    <row r="167" spans="1:12">
      <c r="C167" s="18"/>
      <c r="D167" s="157" t="s">
        <v>184</v>
      </c>
      <c r="E167" s="158" t="e">
        <f>SUM(E164:E166)</f>
        <v>#REF!</v>
      </c>
    </row>
    <row r="168" spans="1:12">
      <c r="C168" s="18"/>
      <c r="D168" s="52"/>
      <c r="E168" s="159"/>
    </row>
    <row r="169" spans="1:12">
      <c r="A169" s="42" t="s">
        <v>185</v>
      </c>
    </row>
    <row r="170" spans="1:12">
      <c r="C170" s="486" t="s">
        <v>186</v>
      </c>
      <c r="D170" s="486"/>
      <c r="E170" s="486"/>
      <c r="F170" s="486"/>
      <c r="G170" s="486" t="s">
        <v>187</v>
      </c>
      <c r="H170" s="486"/>
      <c r="I170" s="486"/>
      <c r="J170" s="486"/>
    </row>
    <row r="171" spans="1:12">
      <c r="B171" s="113" t="s">
        <v>49</v>
      </c>
      <c r="C171" s="160" t="s">
        <v>188</v>
      </c>
      <c r="D171" s="161" t="s">
        <v>189</v>
      </c>
      <c r="E171" s="162" t="s">
        <v>190</v>
      </c>
      <c r="F171" s="163" t="s">
        <v>162</v>
      </c>
      <c r="G171" s="160" t="s">
        <v>188</v>
      </c>
      <c r="H171" s="161" t="s">
        <v>189</v>
      </c>
      <c r="I171" s="162" t="s">
        <v>190</v>
      </c>
      <c r="J171" s="113" t="s">
        <v>162</v>
      </c>
      <c r="K171" s="114" t="s">
        <v>166</v>
      </c>
    </row>
    <row r="172" spans="1:12">
      <c r="B172" s="164" t="s">
        <v>108</v>
      </c>
      <c r="C172" s="165"/>
      <c r="D172" s="166"/>
      <c r="E172" s="167"/>
      <c r="F172" s="168" t="e">
        <f>AVERAGE(C172:E172)</f>
        <v>#DIV/0!</v>
      </c>
      <c r="G172" s="169"/>
      <c r="H172" s="166"/>
      <c r="I172" s="167"/>
      <c r="J172" s="72" t="e">
        <f>AVERAGE(G172:I172)</f>
        <v>#DIV/0!</v>
      </c>
      <c r="K172" s="119" t="e">
        <f>J172-F172</f>
        <v>#DIV/0!</v>
      </c>
    </row>
    <row r="173" spans="1:12">
      <c r="B173" s="170" t="s">
        <v>111</v>
      </c>
      <c r="C173" s="171"/>
      <c r="D173" s="172"/>
      <c r="E173" s="173"/>
      <c r="F173" s="174" t="e">
        <f>AVERAGE(C173:E173)</f>
        <v>#DIV/0!</v>
      </c>
      <c r="G173" s="175"/>
      <c r="H173" s="172"/>
      <c r="I173" s="173"/>
      <c r="J173" s="78" t="e">
        <f>AVERAGE(G173:I173)</f>
        <v>#DIV/0!</v>
      </c>
      <c r="K173" s="124" t="e">
        <f>J173-F173</f>
        <v>#DIV/0!</v>
      </c>
    </row>
    <row r="174" spans="1:12">
      <c r="B174" s="176" t="s">
        <v>114</v>
      </c>
      <c r="C174" s="177"/>
      <c r="D174" s="178"/>
      <c r="E174" s="179"/>
      <c r="F174" s="180" t="e">
        <f>AVERAGE(C174:E174)</f>
        <v>#DIV/0!</v>
      </c>
      <c r="G174" s="181"/>
      <c r="H174" s="178"/>
      <c r="I174" s="179"/>
      <c r="J174" s="85" t="e">
        <f>AVERAGE(G174:I174)</f>
        <v>#DIV/0!</v>
      </c>
      <c r="K174" s="129" t="e">
        <f>J174-F174</f>
        <v>#DIV/0!</v>
      </c>
    </row>
    <row r="175" spans="1:12">
      <c r="B175" s="2"/>
      <c r="D175" s="182"/>
      <c r="E175" s="182"/>
      <c r="F175" s="182"/>
      <c r="G175" s="182"/>
      <c r="H175" s="182"/>
      <c r="I175" s="182"/>
      <c r="J175" s="182"/>
      <c r="K175" s="182" t="e">
        <f>AVERAGE(K172:K174)</f>
        <v>#DIV/0!</v>
      </c>
      <c r="L175" t="s">
        <v>168</v>
      </c>
    </row>
    <row r="176" spans="1:12">
      <c r="K176" s="182" t="e">
        <f>K175/M148</f>
        <v>#DIV/0!</v>
      </c>
      <c r="L176" t="s">
        <v>151</v>
      </c>
    </row>
    <row r="177" spans="1:12">
      <c r="A177" s="1" t="s">
        <v>191</v>
      </c>
      <c r="B177" s="1">
        <v>15006</v>
      </c>
      <c r="C177" s="2" t="s">
        <v>192</v>
      </c>
    </row>
    <row r="178" spans="1:12">
      <c r="B178" s="183">
        <f>0.001*B177/0.45359237</f>
        <v>33.082567063462726</v>
      </c>
      <c r="C178" s="2" t="s">
        <v>193</v>
      </c>
    </row>
    <row r="180" spans="1:12">
      <c r="A180" s="1" t="s">
        <v>194</v>
      </c>
      <c r="B180" s="183" t="e">
        <f>ABS(1000*B178/(3*K176))</f>
        <v>#DIV/0!</v>
      </c>
      <c r="C180" s="2" t="s">
        <v>170</v>
      </c>
    </row>
    <row r="181" spans="1:12">
      <c r="A181" s="1" t="s">
        <v>195</v>
      </c>
      <c r="B181" s="183" t="e">
        <f>100*(B180-M146)/M146</f>
        <v>#DIV/0!</v>
      </c>
      <c r="C181" s="2" t="s">
        <v>172</v>
      </c>
    </row>
    <row r="182" spans="1:12">
      <c r="B182" s="183"/>
    </row>
    <row r="184" spans="1:12">
      <c r="B184" s="2"/>
      <c r="C184" s="486" t="s">
        <v>186</v>
      </c>
      <c r="D184" s="486"/>
      <c r="E184" s="486"/>
      <c r="F184" s="486"/>
      <c r="G184" s="508" t="s">
        <v>187</v>
      </c>
      <c r="H184" s="508"/>
      <c r="I184" s="508"/>
      <c r="J184" s="508"/>
      <c r="K184" s="182"/>
    </row>
    <row r="185" spans="1:12">
      <c r="B185" s="64" t="s">
        <v>196</v>
      </c>
      <c r="C185" s="184" t="s">
        <v>188</v>
      </c>
      <c r="D185" s="64" t="s">
        <v>189</v>
      </c>
      <c r="E185" s="64" t="s">
        <v>190</v>
      </c>
      <c r="F185" s="184" t="s">
        <v>162</v>
      </c>
      <c r="G185" s="64" t="s">
        <v>188</v>
      </c>
      <c r="H185" s="184" t="s">
        <v>189</v>
      </c>
      <c r="I185" s="64" t="s">
        <v>190</v>
      </c>
      <c r="J185" s="184" t="s">
        <v>162</v>
      </c>
      <c r="K185" s="64" t="s">
        <v>166</v>
      </c>
    </row>
    <row r="186" spans="1:12">
      <c r="B186" s="22" t="s">
        <v>108</v>
      </c>
      <c r="C186" s="185"/>
      <c r="D186" s="72"/>
      <c r="E186" s="72"/>
      <c r="F186" s="168" t="e">
        <f>AVERAGE(C186:E186)</f>
        <v>#DIV/0!</v>
      </c>
      <c r="G186" s="72"/>
      <c r="H186" s="168"/>
      <c r="I186" s="72"/>
      <c r="J186" s="119" t="e">
        <f>AVERAGE(G186:I186)</f>
        <v>#DIV/0!</v>
      </c>
      <c r="K186" s="66" t="e">
        <f>J186-F186</f>
        <v>#DIV/0!</v>
      </c>
    </row>
    <row r="187" spans="1:12">
      <c r="B187" s="25" t="s">
        <v>111</v>
      </c>
      <c r="C187" s="186"/>
      <c r="D187" s="78"/>
      <c r="E187" s="78"/>
      <c r="F187" s="174" t="e">
        <f>AVERAGE(C187:E187)</f>
        <v>#DIV/0!</v>
      </c>
      <c r="G187" s="78"/>
      <c r="H187" s="174"/>
      <c r="I187" s="78"/>
      <c r="J187" s="124" t="e">
        <f>AVERAGE(G187:I187)</f>
        <v>#DIV/0!</v>
      </c>
      <c r="K187" s="41" t="e">
        <f>J187-F187</f>
        <v>#DIV/0!</v>
      </c>
    </row>
    <row r="188" spans="1:12">
      <c r="B188" s="30" t="s">
        <v>114</v>
      </c>
      <c r="C188" s="187"/>
      <c r="D188" s="85"/>
      <c r="E188" s="85"/>
      <c r="F188" s="180" t="e">
        <f>AVERAGE(C188:E188)</f>
        <v>#DIV/0!</v>
      </c>
      <c r="G188" s="85"/>
      <c r="H188" s="180"/>
      <c r="I188" s="85"/>
      <c r="J188" s="129" t="e">
        <f>AVERAGE(G188:I188)</f>
        <v>#DIV/0!</v>
      </c>
      <c r="K188" s="58" t="e">
        <f>J188-F188</f>
        <v>#DIV/0!</v>
      </c>
    </row>
    <row r="189" spans="1:12">
      <c r="B189" s="2"/>
      <c r="D189" s="182"/>
      <c r="E189" s="182"/>
      <c r="F189" s="182"/>
      <c r="G189" s="182"/>
      <c r="H189" s="182"/>
      <c r="I189" s="182"/>
      <c r="J189" s="182"/>
      <c r="K189" s="182" t="e">
        <f>AVERAGE(K186:K188)</f>
        <v>#DIV/0!</v>
      </c>
      <c r="L189" t="s">
        <v>168</v>
      </c>
    </row>
    <row r="190" spans="1:12">
      <c r="K190" s="182" t="e">
        <f>K189/N153</f>
        <v>#DIV/0!</v>
      </c>
      <c r="L190" t="s">
        <v>151</v>
      </c>
    </row>
    <row r="192" spans="1:12">
      <c r="A192" s="1" t="s">
        <v>191</v>
      </c>
      <c r="B192" s="1">
        <v>21133</v>
      </c>
      <c r="C192" s="2" t="s">
        <v>192</v>
      </c>
    </row>
    <row r="193" spans="1:13">
      <c r="B193" s="183">
        <f>0.001*B192/0.45359237</f>
        <v>46.590289867530174</v>
      </c>
      <c r="C193" s="2" t="s">
        <v>193</v>
      </c>
    </row>
    <row r="195" spans="1:13">
      <c r="A195" s="1" t="s">
        <v>194</v>
      </c>
      <c r="B195" s="183" t="e">
        <f>ABS(1000*B193/(3*K190))</f>
        <v>#DIV/0!</v>
      </c>
      <c r="C195" s="2" t="s">
        <v>170</v>
      </c>
    </row>
    <row r="196" spans="1:13">
      <c r="A196" s="1" t="s">
        <v>195</v>
      </c>
      <c r="B196" s="183" t="e">
        <f>100*(B195-N154)/N154</f>
        <v>#DIV/0!</v>
      </c>
      <c r="C196" s="2" t="s">
        <v>172</v>
      </c>
    </row>
    <row r="197" spans="1:13">
      <c r="B197" s="183"/>
    </row>
    <row r="198" spans="1:13">
      <c r="A198" s="1" t="s">
        <v>197</v>
      </c>
      <c r="B198" s="183">
        <f>3*1000*9.6*10/(3*1188*6.4)</f>
        <v>12.626262626262625</v>
      </c>
      <c r="C198" s="2" t="s">
        <v>151</v>
      </c>
      <c r="D198" t="s">
        <v>198</v>
      </c>
    </row>
    <row r="199" spans="1:13">
      <c r="A199" s="1" t="s">
        <v>199</v>
      </c>
      <c r="B199" s="183">
        <f>3*1000*5*10/(3*1364*10.2)</f>
        <v>3.5938128917256056</v>
      </c>
      <c r="C199" s="2" t="s">
        <v>151</v>
      </c>
      <c r="K199" s="481">
        <v>41200</v>
      </c>
    </row>
    <row r="201" spans="1:13" ht="15.75" thickBot="1"/>
    <row r="202" spans="1:13" ht="39" thickBot="1">
      <c r="B202" s="188"/>
      <c r="C202" s="189" t="s">
        <v>200</v>
      </c>
      <c r="D202" s="190" t="s">
        <v>201</v>
      </c>
      <c r="E202" s="130" t="s">
        <v>202</v>
      </c>
      <c r="F202" s="131" t="s">
        <v>203</v>
      </c>
      <c r="H202" s="1"/>
      <c r="I202" s="188"/>
      <c r="J202" s="468" t="s">
        <v>200</v>
      </c>
      <c r="K202" s="190" t="s">
        <v>201</v>
      </c>
      <c r="L202" s="130" t="s">
        <v>202</v>
      </c>
      <c r="M202" s="131" t="s">
        <v>203</v>
      </c>
    </row>
    <row r="203" spans="1:13" ht="15.75" thickBot="1">
      <c r="A203" s="484" t="s">
        <v>48</v>
      </c>
      <c r="B203" s="63" t="s">
        <v>55</v>
      </c>
      <c r="C203" s="191">
        <v>0.53800000000000003</v>
      </c>
      <c r="D203" s="118">
        <v>-374</v>
      </c>
      <c r="E203" s="485">
        <f>AVERAGE(C203:C205)</f>
        <v>0.53700000000000003</v>
      </c>
      <c r="F203" s="73">
        <f>100*(C203-$E$203)/$E$203</f>
        <v>0.18621973929236516</v>
      </c>
      <c r="H203" s="484" t="s">
        <v>48</v>
      </c>
      <c r="I203" s="63" t="s">
        <v>55</v>
      </c>
      <c r="J203" s="191">
        <v>0.53935196309015498</v>
      </c>
      <c r="K203" s="118">
        <v>-177.314815745163</v>
      </c>
      <c r="L203" s="485">
        <f>AVERAGE(J203:J205)</f>
        <v>0.538020286568475</v>
      </c>
      <c r="M203" s="73">
        <f>100*(J203-$E$203)/$E$203</f>
        <v>0.43798195347392016</v>
      </c>
    </row>
    <row r="204" spans="1:13" ht="15.75" thickBot="1">
      <c r="A204" s="484"/>
      <c r="B204" s="40" t="s">
        <v>61</v>
      </c>
      <c r="C204" s="192">
        <v>0.53500000000000003</v>
      </c>
      <c r="D204" s="123">
        <v>-752</v>
      </c>
      <c r="E204" s="485"/>
      <c r="F204" s="79">
        <f>100*(C204-$E$203)/$E$203</f>
        <v>-0.37243947858473031</v>
      </c>
      <c r="H204" s="484"/>
      <c r="I204" s="40" t="s">
        <v>61</v>
      </c>
      <c r="J204" s="192">
        <v>0.53569948298871295</v>
      </c>
      <c r="K204" s="123">
        <v>-856.399632942018</v>
      </c>
      <c r="L204" s="485"/>
      <c r="M204" s="79">
        <f>100*(J204-$E$203)/$E$203</f>
        <v>-0.24218193878716635</v>
      </c>
    </row>
    <row r="205" spans="1:13" ht="15.75" thickBot="1">
      <c r="A205" s="484"/>
      <c r="B205" s="57" t="s">
        <v>67</v>
      </c>
      <c r="C205" s="193">
        <v>0.53800000000000003</v>
      </c>
      <c r="D205" s="128">
        <v>-1695</v>
      </c>
      <c r="E205" s="485"/>
      <c r="F205" s="86">
        <f>100*(C205-$E$203)/$E$203</f>
        <v>0.18621973929236516</v>
      </c>
      <c r="H205" s="484"/>
      <c r="I205" s="57" t="s">
        <v>67</v>
      </c>
      <c r="J205" s="193">
        <v>0.53900941362655697</v>
      </c>
      <c r="K205" s="128">
        <v>-1666.95793129859</v>
      </c>
      <c r="L205" s="485"/>
      <c r="M205" s="86">
        <f>100*(J205-$E$203)/$E$203</f>
        <v>0.37419248166795771</v>
      </c>
    </row>
    <row r="206" spans="1:13" ht="15.75" thickBot="1">
      <c r="A206" s="484"/>
      <c r="B206" s="37" t="s">
        <v>73</v>
      </c>
      <c r="C206" s="194">
        <v>0.42499999999999999</v>
      </c>
      <c r="D206" s="195">
        <v>-1281</v>
      </c>
      <c r="E206" s="485">
        <f>AVERAGE(C206:C208)</f>
        <v>0.42766666666666664</v>
      </c>
      <c r="F206" s="73">
        <f>100*(C206-$E$206)/$E$206</f>
        <v>-0.62353858144972352</v>
      </c>
      <c r="H206" s="484"/>
      <c r="I206" s="37" t="s">
        <v>73</v>
      </c>
      <c r="J206" s="194">
        <v>0.42838437845530702</v>
      </c>
      <c r="K206" s="195">
        <v>1225.00178114664</v>
      </c>
      <c r="L206" s="485">
        <f>AVERAGE(J206:J208)</f>
        <v>0.4288603409372907</v>
      </c>
      <c r="M206" s="73">
        <f>100*(J206-$E$206)/$E$206</f>
        <v>0.16782037146696455</v>
      </c>
    </row>
    <row r="207" spans="1:13" ht="15.75" thickBot="1">
      <c r="A207" s="484"/>
      <c r="B207" s="40" t="s">
        <v>79</v>
      </c>
      <c r="C207" s="192">
        <v>0.43</v>
      </c>
      <c r="D207" s="123">
        <v>-160</v>
      </c>
      <c r="E207" s="485"/>
      <c r="F207" s="79">
        <f>100*(C207-$E$206)/$E$206</f>
        <v>0.54559625876851614</v>
      </c>
      <c r="H207" s="484"/>
      <c r="I207" s="40" t="s">
        <v>79</v>
      </c>
      <c r="J207" s="192">
        <v>0.43006381455818399</v>
      </c>
      <c r="K207" s="123">
        <v>-595.14233464713095</v>
      </c>
      <c r="L207" s="485"/>
      <c r="M207" s="79">
        <f>100*(J207-$E$206)/$E$206</f>
        <v>0.56051782342572454</v>
      </c>
    </row>
    <row r="208" spans="1:13" ht="15.75" thickBot="1">
      <c r="A208" s="484"/>
      <c r="B208" s="57" t="s">
        <v>85</v>
      </c>
      <c r="C208" s="193">
        <v>0.42799999999999999</v>
      </c>
      <c r="D208" s="128">
        <v>-374</v>
      </c>
      <c r="E208" s="485"/>
      <c r="F208" s="86">
        <f>100*(C208-$E$206)/$E$206</f>
        <v>7.7942322681220297E-2</v>
      </c>
      <c r="H208" s="484"/>
      <c r="I208" s="57" t="s">
        <v>85</v>
      </c>
      <c r="J208" s="193">
        <v>0.42813282979838102</v>
      </c>
      <c r="K208" s="128">
        <v>-2600.9077639174702</v>
      </c>
      <c r="L208" s="485"/>
      <c r="M208" s="86">
        <f>100*(J208-$E$206)/$E$206</f>
        <v>0.10900151170250533</v>
      </c>
    </row>
    <row r="209" spans="1:13" ht="15.75" thickBot="1">
      <c r="A209" s="484" t="s">
        <v>49</v>
      </c>
      <c r="B209" s="63" t="s">
        <v>57</v>
      </c>
      <c r="C209" s="191">
        <v>0.313</v>
      </c>
      <c r="D209" s="118">
        <v>1048</v>
      </c>
      <c r="E209" s="485">
        <f>AVERAGE(C209:C211)</f>
        <v>0.308</v>
      </c>
      <c r="F209" s="73">
        <f>100*(C209-$E$209)/$E$209</f>
        <v>1.6233766233766249</v>
      </c>
      <c r="H209" s="484" t="s">
        <v>49</v>
      </c>
      <c r="I209" s="63" t="s">
        <v>57</v>
      </c>
      <c r="J209" s="191">
        <v>0.31494145712674898</v>
      </c>
      <c r="K209" s="118">
        <v>1229.8177433762501</v>
      </c>
      <c r="L209" s="485">
        <f>AVERAGE(J209:J211)</f>
        <v>0.30951587283985532</v>
      </c>
      <c r="M209" s="73">
        <f>100*(J209-$E$209)/$E$209</f>
        <v>2.2537198463470727</v>
      </c>
    </row>
    <row r="210" spans="1:13" ht="15.75" thickBot="1">
      <c r="A210" s="484"/>
      <c r="B210" s="40" t="s">
        <v>63</v>
      </c>
      <c r="C210" s="192">
        <v>0.29799999999999999</v>
      </c>
      <c r="D210" s="123">
        <v>-862</v>
      </c>
      <c r="E210" s="485"/>
      <c r="F210" s="79">
        <f>100*(C210-$E$209)/$E$209</f>
        <v>-3.2467532467532498</v>
      </c>
      <c r="H210" s="484"/>
      <c r="I210" s="40" t="s">
        <v>63</v>
      </c>
      <c r="J210" s="192">
        <v>0.30095032788286602</v>
      </c>
      <c r="K210" s="123">
        <v>941.93986394936701</v>
      </c>
      <c r="L210" s="485"/>
      <c r="M210" s="79">
        <f>100*(J210-$E$209)/$E$209</f>
        <v>-2.2888545834850573</v>
      </c>
    </row>
    <row r="211" spans="1:13" ht="15.75" thickBot="1">
      <c r="A211" s="484"/>
      <c r="B211" s="57" t="s">
        <v>69</v>
      </c>
      <c r="C211" s="193">
        <v>0.313</v>
      </c>
      <c r="D211" s="128">
        <v>-366</v>
      </c>
      <c r="E211" s="485"/>
      <c r="F211" s="86">
        <f>100*(C211-$E$209)/$E$209</f>
        <v>1.6233766233766249</v>
      </c>
      <c r="H211" s="484"/>
      <c r="I211" s="57" t="s">
        <v>69</v>
      </c>
      <c r="J211" s="193">
        <v>0.31265583350995102</v>
      </c>
      <c r="K211" s="128">
        <v>-1643.01493217905</v>
      </c>
      <c r="L211" s="485"/>
      <c r="M211" s="86">
        <f>100*(J211-$E$209)/$E$209</f>
        <v>1.5116342564776053</v>
      </c>
    </row>
    <row r="212" spans="1:13" ht="15.75" thickBot="1">
      <c r="A212" s="484"/>
      <c r="B212" s="37" t="s">
        <v>75</v>
      </c>
      <c r="C212" s="194">
        <v>0.38200000000000001</v>
      </c>
      <c r="D212" s="195">
        <v>1416</v>
      </c>
      <c r="E212" s="485">
        <f>AVERAGE(C212:C214)</f>
        <v>0.37966666666666665</v>
      </c>
      <c r="F212" s="73">
        <f>100*(C212-$E$212)/$E$212</f>
        <v>0.61457418788411433</v>
      </c>
      <c r="H212" s="484"/>
      <c r="I212" s="37" t="s">
        <v>75</v>
      </c>
      <c r="J212" s="194">
        <v>0.38236902827182201</v>
      </c>
      <c r="K212" s="195">
        <v>11841.616429002799</v>
      </c>
      <c r="L212" s="485">
        <f>AVERAGE(J212:J214)</f>
        <v>0.37972184876477666</v>
      </c>
      <c r="M212" s="73">
        <f>100*(J212-$E$212)/$E$212</f>
        <v>0.71177215236752156</v>
      </c>
    </row>
    <row r="213" spans="1:13" ht="15.75" thickBot="1">
      <c r="A213" s="484"/>
      <c r="B213" s="40" t="s">
        <v>81</v>
      </c>
      <c r="C213" s="192">
        <v>0.373</v>
      </c>
      <c r="D213" s="123">
        <v>1303</v>
      </c>
      <c r="E213" s="485"/>
      <c r="F213" s="79">
        <f>100*(C213-$E$212)/$E$212</f>
        <v>-1.7559262510974507</v>
      </c>
      <c r="H213" s="484"/>
      <c r="I213" s="40" t="s">
        <v>81</v>
      </c>
      <c r="J213" s="192">
        <v>0.37340069326041098</v>
      </c>
      <c r="K213" s="123">
        <v>4596.5668540186398</v>
      </c>
      <c r="L213" s="485"/>
      <c r="M213" s="79">
        <f>100*(J213-$E$212)/$E$212</f>
        <v>-1.6503880789084309</v>
      </c>
    </row>
    <row r="214" spans="1:13" ht="15.75" thickBot="1">
      <c r="A214" s="484"/>
      <c r="B214" s="57" t="s">
        <v>87</v>
      </c>
      <c r="C214" s="193">
        <v>0.38400000000000001</v>
      </c>
      <c r="D214" s="128">
        <v>370</v>
      </c>
      <c r="E214" s="485"/>
      <c r="F214" s="86">
        <f>100*(C214-$E$212)/$E$212</f>
        <v>1.1413520632133509</v>
      </c>
      <c r="H214" s="484"/>
      <c r="I214" s="57" t="s">
        <v>87</v>
      </c>
      <c r="J214" s="193">
        <v>0.38339582476209699</v>
      </c>
      <c r="K214" s="128">
        <v>-6160.4701767479501</v>
      </c>
      <c r="L214" s="485"/>
      <c r="M214" s="86">
        <f>100*(J214-$E$212)/$E$212</f>
        <v>0.9822189891388079</v>
      </c>
    </row>
    <row r="218" spans="1:13">
      <c r="B218" s="486" t="s">
        <v>204</v>
      </c>
      <c r="C218" s="486"/>
      <c r="D218" s="486"/>
      <c r="E218" s="486"/>
    </row>
    <row r="219" spans="1:13">
      <c r="A219" s="132" t="s">
        <v>148</v>
      </c>
      <c r="B219" s="21" t="s">
        <v>205</v>
      </c>
      <c r="C219" s="196" t="s">
        <v>206</v>
      </c>
      <c r="D219" s="21" t="s">
        <v>207</v>
      </c>
      <c r="E219" s="133" t="s">
        <v>208</v>
      </c>
    </row>
    <row r="220" spans="1:13">
      <c r="A220" s="134" t="s">
        <v>209</v>
      </c>
      <c r="B220" s="38"/>
      <c r="C220" s="197"/>
      <c r="D220" s="38"/>
      <c r="E220" s="60"/>
    </row>
    <row r="221" spans="1:13">
      <c r="A221" s="136" t="s">
        <v>210</v>
      </c>
      <c r="B221" s="41"/>
      <c r="C221" s="198"/>
      <c r="D221" s="41"/>
      <c r="E221" s="61"/>
    </row>
    <row r="222" spans="1:13">
      <c r="A222" s="136" t="s">
        <v>211</v>
      </c>
      <c r="B222" s="41"/>
      <c r="C222" s="198"/>
      <c r="D222" s="41"/>
      <c r="E222" s="61"/>
    </row>
    <row r="223" spans="1:13">
      <c r="A223" s="136" t="s">
        <v>212</v>
      </c>
      <c r="B223" s="41"/>
      <c r="C223" s="198"/>
      <c r="D223" s="41"/>
      <c r="E223" s="61"/>
    </row>
    <row r="224" spans="1:13">
      <c r="A224" s="136" t="s">
        <v>213</v>
      </c>
      <c r="B224" s="41"/>
      <c r="C224" s="198"/>
      <c r="D224" s="41"/>
      <c r="E224" s="61"/>
    </row>
    <row r="225" spans="1:18">
      <c r="A225" s="137" t="s">
        <v>214</v>
      </c>
      <c r="B225" s="58"/>
      <c r="C225" s="199"/>
      <c r="D225" s="58"/>
      <c r="E225" s="62"/>
    </row>
    <row r="226" spans="1:18">
      <c r="A226" s="200" t="s">
        <v>215</v>
      </c>
      <c r="B226" s="65"/>
      <c r="C226" s="201"/>
      <c r="D226" s="66"/>
      <c r="E226" s="202"/>
    </row>
    <row r="227" spans="1:18">
      <c r="A227" s="136" t="s">
        <v>216</v>
      </c>
      <c r="B227" s="41"/>
      <c r="C227" s="198"/>
      <c r="D227" s="41"/>
      <c r="E227" s="61"/>
    </row>
    <row r="228" spans="1:18">
      <c r="A228" s="136" t="s">
        <v>217</v>
      </c>
      <c r="B228" s="41"/>
      <c r="C228" s="198"/>
      <c r="D228" s="41"/>
      <c r="E228" s="61"/>
    </row>
    <row r="229" spans="1:18">
      <c r="A229" s="136" t="s">
        <v>218</v>
      </c>
      <c r="B229" s="41"/>
      <c r="C229" s="198"/>
      <c r="D229" s="41"/>
      <c r="E229" s="61"/>
    </row>
    <row r="230" spans="1:18">
      <c r="A230" s="136" t="s">
        <v>219</v>
      </c>
      <c r="B230" s="41"/>
      <c r="C230" s="198"/>
      <c r="D230" s="41"/>
      <c r="E230" s="61"/>
    </row>
    <row r="231" spans="1:18">
      <c r="A231" s="203" t="s">
        <v>220</v>
      </c>
      <c r="B231" s="204"/>
      <c r="C231" s="205"/>
      <c r="D231" s="206"/>
      <c r="E231" s="207"/>
    </row>
    <row r="232" spans="1:18">
      <c r="A232" s="134" t="s">
        <v>221</v>
      </c>
      <c r="B232" s="38"/>
      <c r="C232" s="197"/>
      <c r="D232" s="38"/>
      <c r="E232" s="60"/>
    </row>
    <row r="233" spans="1:18">
      <c r="A233" s="136" t="s">
        <v>222</v>
      </c>
      <c r="B233" s="41"/>
      <c r="C233" s="198"/>
      <c r="D233" s="41"/>
      <c r="E233" s="61"/>
    </row>
    <row r="234" spans="1:18">
      <c r="A234" s="137" t="s">
        <v>223</v>
      </c>
      <c r="B234" s="58"/>
      <c r="C234" s="199"/>
      <c r="D234" s="58"/>
      <c r="E234" s="62"/>
    </row>
    <row r="235" spans="1:18">
      <c r="A235" s="208"/>
      <c r="B235" s="18"/>
      <c r="C235" s="18"/>
      <c r="D235" s="52"/>
      <c r="E235" s="52"/>
    </row>
    <row r="236" spans="1:18">
      <c r="A236" s="208"/>
      <c r="B236" s="18"/>
      <c r="C236" s="18"/>
      <c r="D236" s="52"/>
      <c r="E236" s="52"/>
    </row>
    <row r="237" spans="1:18">
      <c r="A237" s="208"/>
      <c r="B237" s="18"/>
      <c r="C237" s="18"/>
      <c r="D237" s="52"/>
      <c r="E237" s="52"/>
    </row>
    <row r="238" spans="1:18" ht="15.75" thickBot="1">
      <c r="A238" s="42" t="s">
        <v>224</v>
      </c>
      <c r="K238" s="140" t="s">
        <v>226</v>
      </c>
    </row>
    <row r="239" spans="1:18" ht="15.75" thickBot="1">
      <c r="D239" s="486" t="s">
        <v>148</v>
      </c>
      <c r="E239" s="486"/>
      <c r="F239" s="486"/>
      <c r="G239" s="486"/>
      <c r="H239" s="486"/>
      <c r="I239" s="486"/>
      <c r="K239" s="1"/>
      <c r="L239" s="2"/>
      <c r="M239" s="486" t="s">
        <v>148</v>
      </c>
      <c r="N239" s="486"/>
      <c r="O239" s="486"/>
      <c r="P239" s="486"/>
      <c r="Q239" s="486"/>
      <c r="R239" s="486"/>
    </row>
    <row r="240" spans="1:18" ht="15.75" customHeight="1" thickBot="1">
      <c r="D240" s="209" t="s">
        <v>55</v>
      </c>
      <c r="E240" s="210" t="s">
        <v>61</v>
      </c>
      <c r="F240" s="211" t="s">
        <v>67</v>
      </c>
      <c r="G240" s="209" t="s">
        <v>73</v>
      </c>
      <c r="H240" s="210" t="s">
        <v>79</v>
      </c>
      <c r="I240" s="212" t="s">
        <v>85</v>
      </c>
      <c r="K240" s="1"/>
      <c r="L240" s="2"/>
      <c r="M240" s="209" t="s">
        <v>55</v>
      </c>
      <c r="N240" s="210" t="s">
        <v>61</v>
      </c>
      <c r="O240" s="211" t="s">
        <v>67</v>
      </c>
      <c r="P240" s="209" t="s">
        <v>73</v>
      </c>
      <c r="Q240" s="210" t="s">
        <v>79</v>
      </c>
      <c r="R240" s="212" t="s">
        <v>85</v>
      </c>
    </row>
    <row r="241" spans="2:18">
      <c r="B241" s="484" t="s">
        <v>225</v>
      </c>
      <c r="C241" s="22" t="s">
        <v>55</v>
      </c>
      <c r="D241" s="213">
        <v>3786.23992</v>
      </c>
      <c r="E241" s="166">
        <v>1521.76288</v>
      </c>
      <c r="F241" s="214">
        <v>1521.5857599999999</v>
      </c>
      <c r="G241" s="169">
        <v>-21.603400000000001</v>
      </c>
      <c r="H241" s="166">
        <v>8.2082399999993605</v>
      </c>
      <c r="I241" s="167">
        <v>-6.0764000000003797</v>
      </c>
      <c r="K241" s="484" t="s">
        <v>225</v>
      </c>
      <c r="L241" s="22" t="s">
        <v>55</v>
      </c>
      <c r="M241" s="213"/>
      <c r="N241" s="166"/>
      <c r="O241" s="214"/>
      <c r="P241" s="169"/>
      <c r="Q241" s="166"/>
      <c r="R241" s="167"/>
    </row>
    <row r="242" spans="2:18">
      <c r="B242" s="484"/>
      <c r="C242" s="25" t="s">
        <v>61</v>
      </c>
      <c r="D242" s="175">
        <v>1521.36052</v>
      </c>
      <c r="E242" s="215">
        <v>3754.3303999999998</v>
      </c>
      <c r="F242" s="216">
        <v>1514.7638999999999</v>
      </c>
      <c r="G242" s="175">
        <v>-11.167000000000099</v>
      </c>
      <c r="H242" s="172">
        <v>21.615459999999601</v>
      </c>
      <c r="I242" s="173">
        <v>-9.4730000000008694</v>
      </c>
      <c r="K242" s="484"/>
      <c r="L242" s="25" t="s">
        <v>61</v>
      </c>
      <c r="M242" s="175"/>
      <c r="N242" s="215"/>
      <c r="O242" s="216"/>
      <c r="P242" s="175"/>
      <c r="Q242" s="172"/>
      <c r="R242" s="173"/>
    </row>
    <row r="243" spans="2:18" ht="15.75" thickBot="1">
      <c r="B243" s="484"/>
      <c r="C243" s="30" t="s">
        <v>67</v>
      </c>
      <c r="D243" s="181">
        <v>1533.88912</v>
      </c>
      <c r="E243" s="178">
        <v>1520.9812999999999</v>
      </c>
      <c r="F243" s="217">
        <v>3781.2359999999999</v>
      </c>
      <c r="G243" s="181">
        <v>-16.330999999999701</v>
      </c>
      <c r="H243" s="178">
        <v>-14.446360000000499</v>
      </c>
      <c r="I243" s="179">
        <v>22.8042000000009</v>
      </c>
      <c r="K243" s="484"/>
      <c r="L243" s="30" t="s">
        <v>67</v>
      </c>
      <c r="M243" s="181"/>
      <c r="N243" s="178"/>
      <c r="O243" s="217"/>
      <c r="P243" s="181"/>
      <c r="Q243" s="178"/>
      <c r="R243" s="179"/>
    </row>
    <row r="244" spans="2:18">
      <c r="B244" s="484"/>
      <c r="C244" s="33" t="s">
        <v>73</v>
      </c>
      <c r="D244" s="218">
        <v>54.909196000000001</v>
      </c>
      <c r="E244" s="219">
        <v>-128.09754000000001</v>
      </c>
      <c r="F244" s="220">
        <v>87.692599999999402</v>
      </c>
      <c r="G244" s="221">
        <v>3011.8679999999999</v>
      </c>
      <c r="H244" s="219">
        <v>-560.90229999999997</v>
      </c>
      <c r="I244" s="222">
        <v>-544.41539999999998</v>
      </c>
      <c r="K244" s="484"/>
      <c r="L244" s="33" t="s">
        <v>73</v>
      </c>
      <c r="M244" s="218"/>
      <c r="N244" s="219"/>
      <c r="O244" s="220"/>
      <c r="P244" s="221"/>
      <c r="Q244" s="219"/>
      <c r="R244" s="222"/>
    </row>
    <row r="245" spans="2:18">
      <c r="B245" s="484"/>
      <c r="C245" s="25" t="s">
        <v>79</v>
      </c>
      <c r="D245" s="175">
        <v>94.114481999999995</v>
      </c>
      <c r="E245" s="172">
        <v>20.3598800000007</v>
      </c>
      <c r="F245" s="216">
        <v>-144.63660000000101</v>
      </c>
      <c r="G245" s="175">
        <v>-521.91503999999998</v>
      </c>
      <c r="H245" s="215">
        <v>3013.4765000000002</v>
      </c>
      <c r="I245" s="173">
        <v>-560.28800000000103</v>
      </c>
      <c r="K245" s="484"/>
      <c r="L245" s="25" t="s">
        <v>79</v>
      </c>
      <c r="M245" s="175"/>
      <c r="N245" s="172"/>
      <c r="O245" s="216"/>
      <c r="P245" s="175"/>
      <c r="Q245" s="215"/>
      <c r="R245" s="173"/>
    </row>
    <row r="246" spans="2:18" ht="15.75" thickBot="1">
      <c r="B246" s="484"/>
      <c r="C246" s="30" t="s">
        <v>85</v>
      </c>
      <c r="D246" s="181">
        <v>-150.78373999999999</v>
      </c>
      <c r="E246" s="178">
        <v>85.527140000000102</v>
      </c>
      <c r="F246" s="223">
        <v>49.025399999998598</v>
      </c>
      <c r="G246" s="181">
        <v>-545.06551999999999</v>
      </c>
      <c r="H246" s="178">
        <v>-534.23310000000004</v>
      </c>
      <c r="I246" s="224">
        <v>2999.5055000000002</v>
      </c>
      <c r="K246" s="484"/>
      <c r="L246" s="30" t="s">
        <v>85</v>
      </c>
      <c r="M246" s="181"/>
      <c r="N246" s="178"/>
      <c r="O246" s="223"/>
      <c r="P246" s="181"/>
      <c r="Q246" s="178"/>
      <c r="R246" s="224"/>
    </row>
    <row r="247" spans="2:18">
      <c r="B247" s="18"/>
      <c r="C247" s="208"/>
      <c r="D247" s="225"/>
      <c r="E247" s="225"/>
      <c r="F247" s="225"/>
      <c r="G247" s="225"/>
      <c r="H247" s="225"/>
      <c r="I247" s="225"/>
      <c r="K247" s="365"/>
      <c r="L247" s="368"/>
      <c r="M247" s="225"/>
      <c r="N247" s="225"/>
      <c r="O247" s="225"/>
      <c r="P247" s="225"/>
      <c r="Q247" s="225"/>
      <c r="R247" s="225"/>
    </row>
    <row r="248" spans="2:18" ht="15.75" thickBot="1">
      <c r="D248" s="225"/>
      <c r="E248" s="225"/>
      <c r="F248" s="225"/>
      <c r="G248" s="225"/>
      <c r="H248" s="225"/>
      <c r="I248" s="225"/>
      <c r="K248" s="1"/>
      <c r="L248" s="2"/>
      <c r="M248" s="225"/>
      <c r="N248" s="225"/>
      <c r="O248" s="225"/>
      <c r="P248" s="225"/>
      <c r="Q248" s="225"/>
      <c r="R248" s="225"/>
    </row>
    <row r="249" spans="2:18" ht="15.75" thickBot="1">
      <c r="D249" s="486" t="s">
        <v>148</v>
      </c>
      <c r="E249" s="486"/>
      <c r="F249" s="486"/>
      <c r="G249" s="486"/>
      <c r="H249" s="486"/>
      <c r="I249" s="486"/>
      <c r="K249" s="1"/>
      <c r="L249" s="2"/>
      <c r="M249" s="486" t="s">
        <v>148</v>
      </c>
      <c r="N249" s="486"/>
      <c r="O249" s="486"/>
      <c r="P249" s="486"/>
      <c r="Q249" s="486"/>
      <c r="R249" s="486"/>
    </row>
    <row r="250" spans="2:18" ht="15.75" customHeight="1" thickBot="1">
      <c r="D250" s="160" t="s">
        <v>57</v>
      </c>
      <c r="E250" s="161" t="s">
        <v>63</v>
      </c>
      <c r="F250" s="226" t="s">
        <v>69</v>
      </c>
      <c r="G250" s="160" t="s">
        <v>75</v>
      </c>
      <c r="H250" s="161" t="s">
        <v>81</v>
      </c>
      <c r="I250" s="162" t="s">
        <v>87</v>
      </c>
      <c r="K250" s="1"/>
      <c r="L250" s="2"/>
      <c r="M250" s="160" t="s">
        <v>57</v>
      </c>
      <c r="N250" s="161" t="s">
        <v>63</v>
      </c>
      <c r="O250" s="226" t="s">
        <v>69</v>
      </c>
      <c r="P250" s="160" t="s">
        <v>75</v>
      </c>
      <c r="Q250" s="161" t="s">
        <v>81</v>
      </c>
      <c r="R250" s="162" t="s">
        <v>87</v>
      </c>
    </row>
    <row r="251" spans="2:18">
      <c r="B251" s="484" t="s">
        <v>225</v>
      </c>
      <c r="C251" s="22" t="s">
        <v>57</v>
      </c>
      <c r="D251" s="213">
        <v>2210.6215999999999</v>
      </c>
      <c r="E251" s="166">
        <v>320.30009999999999</v>
      </c>
      <c r="F251" s="214">
        <v>344.41359999999997</v>
      </c>
      <c r="G251" s="169">
        <v>1.1479999999992301</v>
      </c>
      <c r="H251" s="166">
        <v>8.4120000000011697</v>
      </c>
      <c r="I251" s="167">
        <v>9.4768000000021893</v>
      </c>
      <c r="K251" s="484" t="s">
        <v>225</v>
      </c>
      <c r="L251" s="22" t="s">
        <v>57</v>
      </c>
      <c r="M251" s="213"/>
      <c r="N251" s="166"/>
      <c r="O251" s="214"/>
      <c r="P251" s="169"/>
      <c r="Q251" s="166"/>
      <c r="R251" s="167"/>
    </row>
    <row r="252" spans="2:18">
      <c r="B252" s="484"/>
      <c r="C252" s="25" t="s">
        <v>63</v>
      </c>
      <c r="D252" s="175">
        <v>337.18400000000003</v>
      </c>
      <c r="E252" s="215">
        <v>2111.5349000000001</v>
      </c>
      <c r="F252" s="216">
        <v>329.88580000000098</v>
      </c>
      <c r="G252" s="175">
        <v>1.3439999999954999</v>
      </c>
      <c r="H252" s="172">
        <v>47.098400000000801</v>
      </c>
      <c r="I252" s="173">
        <v>-5.3670000000001901</v>
      </c>
      <c r="K252" s="484"/>
      <c r="L252" s="25" t="s">
        <v>63</v>
      </c>
      <c r="M252" s="175"/>
      <c r="N252" s="215"/>
      <c r="O252" s="216"/>
      <c r="P252" s="175"/>
      <c r="Q252" s="172"/>
      <c r="R252" s="173"/>
    </row>
    <row r="253" spans="2:18" ht="15.75" thickBot="1">
      <c r="B253" s="484"/>
      <c r="C253" s="30" t="s">
        <v>69</v>
      </c>
      <c r="D253" s="181">
        <v>345.93299999999999</v>
      </c>
      <c r="E253" s="178">
        <v>324.47370000000001</v>
      </c>
      <c r="F253" s="217">
        <v>2201.69418</v>
      </c>
      <c r="G253" s="181">
        <v>-24.9240000000027</v>
      </c>
      <c r="H253" s="178">
        <v>17.243399999998498</v>
      </c>
      <c r="I253" s="179">
        <v>-2.18260000000009</v>
      </c>
      <c r="K253" s="484"/>
      <c r="L253" s="30" t="s">
        <v>69</v>
      </c>
      <c r="M253" s="181"/>
      <c r="N253" s="178"/>
      <c r="O253" s="217"/>
      <c r="P253" s="181"/>
      <c r="Q253" s="178"/>
      <c r="R253" s="179"/>
    </row>
    <row r="254" spans="2:18">
      <c r="B254" s="484"/>
      <c r="C254" s="33" t="s">
        <v>75</v>
      </c>
      <c r="D254" s="218">
        <v>88.116800000000495</v>
      </c>
      <c r="E254" s="219">
        <v>123.81916</v>
      </c>
      <c r="F254" s="220">
        <v>-184.96639999999999</v>
      </c>
      <c r="G254" s="221">
        <v>2663.1219999999998</v>
      </c>
      <c r="H254" s="219">
        <v>287.374600000003</v>
      </c>
      <c r="I254" s="222">
        <v>-35.5186000000012</v>
      </c>
      <c r="K254" s="484"/>
      <c r="L254" s="33" t="s">
        <v>75</v>
      </c>
      <c r="M254" s="218"/>
      <c r="N254" s="219"/>
      <c r="O254" s="220"/>
      <c r="P254" s="221"/>
      <c r="Q254" s="219"/>
      <c r="R254" s="222"/>
    </row>
    <row r="255" spans="2:18">
      <c r="B255" s="484"/>
      <c r="C255" s="25" t="s">
        <v>81</v>
      </c>
      <c r="D255" s="175">
        <v>-181.54053999999999</v>
      </c>
      <c r="E255" s="172">
        <v>87.939819999999798</v>
      </c>
      <c r="F255" s="216">
        <v>116.663400000001</v>
      </c>
      <c r="G255" s="175">
        <v>-60.801999999999701</v>
      </c>
      <c r="H255" s="215">
        <v>2615.2411999999999</v>
      </c>
      <c r="I255" s="173">
        <v>274.04500000000098</v>
      </c>
      <c r="K255" s="484"/>
      <c r="L255" s="25" t="s">
        <v>81</v>
      </c>
      <c r="M255" s="175"/>
      <c r="N255" s="172"/>
      <c r="O255" s="216"/>
      <c r="P255" s="175"/>
      <c r="Q255" s="215"/>
      <c r="R255" s="173"/>
    </row>
    <row r="256" spans="2:18" ht="15.75" thickBot="1">
      <c r="B256" s="484"/>
      <c r="C256" s="30" t="s">
        <v>87</v>
      </c>
      <c r="D256" s="181">
        <v>119.1306</v>
      </c>
      <c r="E256" s="178">
        <v>-198.25478000000001</v>
      </c>
      <c r="F256" s="223">
        <v>77.158200000000306</v>
      </c>
      <c r="G256" s="181">
        <v>285.58800000000298</v>
      </c>
      <c r="H256" s="178">
        <v>-22.713799999996802</v>
      </c>
      <c r="I256" s="224">
        <v>2701.5958000000001</v>
      </c>
      <c r="K256" s="484"/>
      <c r="L256" s="30" t="s">
        <v>87</v>
      </c>
      <c r="M256" s="181"/>
      <c r="N256" s="178"/>
      <c r="O256" s="223"/>
      <c r="P256" s="181"/>
      <c r="Q256" s="178"/>
      <c r="R256" s="224"/>
    </row>
    <row r="257" spans="1:18" ht="15.75" thickBot="1"/>
    <row r="258" spans="1:18" ht="15.75" thickBot="1">
      <c r="A258" s="42" t="s">
        <v>227</v>
      </c>
      <c r="D258" s="486" t="s">
        <v>148</v>
      </c>
      <c r="E258" s="486"/>
      <c r="F258" s="486"/>
      <c r="G258" s="486"/>
      <c r="H258" s="486"/>
      <c r="I258" s="486"/>
      <c r="K258" s="1"/>
      <c r="L258" s="2"/>
      <c r="M258" s="486" t="s">
        <v>148</v>
      </c>
      <c r="N258" s="486"/>
      <c r="O258" s="486"/>
      <c r="P258" s="486"/>
      <c r="Q258" s="486"/>
      <c r="R258" s="486"/>
    </row>
    <row r="259" spans="1:18" ht="15.75" thickBot="1">
      <c r="C259" s="227"/>
      <c r="D259" s="113" t="s">
        <v>228</v>
      </c>
      <c r="E259" s="163" t="s">
        <v>229</v>
      </c>
      <c r="F259" s="113" t="s">
        <v>230</v>
      </c>
      <c r="G259" s="163" t="s">
        <v>231</v>
      </c>
      <c r="H259" s="113" t="s">
        <v>231</v>
      </c>
      <c r="I259" s="114" t="s">
        <v>232</v>
      </c>
      <c r="K259" s="1"/>
      <c r="L259" s="227"/>
      <c r="M259" s="113" t="s">
        <v>228</v>
      </c>
      <c r="N259" s="163" t="s">
        <v>229</v>
      </c>
      <c r="O259" s="113" t="s">
        <v>230</v>
      </c>
      <c r="P259" s="163" t="s">
        <v>231</v>
      </c>
      <c r="Q259" s="113" t="s">
        <v>231</v>
      </c>
      <c r="R259" s="114" t="s">
        <v>232</v>
      </c>
    </row>
    <row r="260" spans="1:18">
      <c r="B260" s="484" t="s">
        <v>225</v>
      </c>
      <c r="C260" s="164" t="s">
        <v>228</v>
      </c>
      <c r="D260" s="228">
        <v>1500.5496800000001</v>
      </c>
      <c r="E260" s="168">
        <v>5.01366000000053</v>
      </c>
      <c r="F260" s="72">
        <v>5.11120000000028</v>
      </c>
      <c r="G260" s="168">
        <v>-3.9106000000006098</v>
      </c>
      <c r="H260" s="72">
        <v>2.2856000000001599</v>
      </c>
      <c r="I260" s="119">
        <v>5.4943399999998501</v>
      </c>
      <c r="K260" s="484" t="s">
        <v>225</v>
      </c>
      <c r="L260" s="164" t="s">
        <v>228</v>
      </c>
      <c r="M260" s="228">
        <v>1750</v>
      </c>
      <c r="N260" s="168">
        <v>0</v>
      </c>
      <c r="O260" s="72">
        <v>0</v>
      </c>
      <c r="P260" s="168">
        <v>0</v>
      </c>
      <c r="Q260" s="72">
        <v>0</v>
      </c>
      <c r="R260" s="119">
        <v>0</v>
      </c>
    </row>
    <row r="261" spans="1:18">
      <c r="B261" s="484"/>
      <c r="C261" s="170" t="s">
        <v>229</v>
      </c>
      <c r="D261" s="78">
        <v>-3.3690799999998799</v>
      </c>
      <c r="E261" s="229">
        <v>1500.32428</v>
      </c>
      <c r="F261" s="78">
        <v>1.87990000000013</v>
      </c>
      <c r="G261" s="174">
        <v>-6.4900000000009204</v>
      </c>
      <c r="H261" s="78">
        <v>20.806200000001599</v>
      </c>
      <c r="I261" s="124">
        <v>-7.8341600000002201</v>
      </c>
      <c r="K261" s="484"/>
      <c r="L261" s="170" t="s">
        <v>229</v>
      </c>
      <c r="M261" s="78">
        <v>0</v>
      </c>
      <c r="N261" s="229">
        <v>1750</v>
      </c>
      <c r="O261" s="78">
        <v>0</v>
      </c>
      <c r="P261" s="174">
        <v>0</v>
      </c>
      <c r="Q261" s="78">
        <v>0</v>
      </c>
      <c r="R261" s="124">
        <v>0</v>
      </c>
    </row>
    <row r="262" spans="1:18">
      <c r="B262" s="484"/>
      <c r="C262" s="170" t="s">
        <v>230</v>
      </c>
      <c r="D262" s="78">
        <v>-4.1413799999998604</v>
      </c>
      <c r="E262" s="174">
        <v>6.6210400000004501</v>
      </c>
      <c r="F262" s="230">
        <v>640.68873399999995</v>
      </c>
      <c r="G262" s="174">
        <v>4.8697999999999402</v>
      </c>
      <c r="H262" s="78">
        <v>-9.1948000000002104</v>
      </c>
      <c r="I262" s="124">
        <v>8.8914999999999509</v>
      </c>
      <c r="K262" s="484"/>
      <c r="L262" s="170" t="s">
        <v>230</v>
      </c>
      <c r="M262" s="78">
        <v>0</v>
      </c>
      <c r="N262" s="174">
        <v>0</v>
      </c>
      <c r="O262" s="230">
        <v>750</v>
      </c>
      <c r="P262" s="174">
        <v>0</v>
      </c>
      <c r="Q262" s="78">
        <v>0</v>
      </c>
      <c r="R262" s="124">
        <v>0</v>
      </c>
    </row>
    <row r="263" spans="1:18">
      <c r="B263" s="484"/>
      <c r="C263" s="170" t="s">
        <v>233</v>
      </c>
      <c r="D263" s="78">
        <v>26.837980000000002</v>
      </c>
      <c r="E263" s="231">
        <v>415.41217999999998</v>
      </c>
      <c r="F263" s="78">
        <v>8.30720000000019</v>
      </c>
      <c r="G263" s="229">
        <v>2645.1232</v>
      </c>
      <c r="H263" s="78">
        <v>-173.98439999999999</v>
      </c>
      <c r="I263" s="124">
        <v>8.7681400000000203</v>
      </c>
      <c r="K263" s="484"/>
      <c r="L263" s="170" t="s">
        <v>233</v>
      </c>
      <c r="M263" s="78">
        <v>0</v>
      </c>
      <c r="N263" s="231">
        <v>375</v>
      </c>
      <c r="O263" s="78">
        <v>0</v>
      </c>
      <c r="P263" s="229">
        <v>3000</v>
      </c>
      <c r="Q263" s="78">
        <v>0</v>
      </c>
      <c r="R263" s="124">
        <v>0</v>
      </c>
    </row>
    <row r="264" spans="1:18">
      <c r="B264" s="484"/>
      <c r="C264" s="170" t="s">
        <v>231</v>
      </c>
      <c r="D264" s="232">
        <v>-386.45084000000003</v>
      </c>
      <c r="E264" s="174">
        <v>28.627940000000201</v>
      </c>
      <c r="F264" s="78">
        <v>1.68797999999981</v>
      </c>
      <c r="G264" s="174">
        <v>163.51499999999999</v>
      </c>
      <c r="H264" s="230">
        <v>2641.0429600000002</v>
      </c>
      <c r="I264" s="124">
        <v>-2.6428799999999901</v>
      </c>
      <c r="K264" s="484"/>
      <c r="L264" s="170" t="s">
        <v>231</v>
      </c>
      <c r="M264" s="232">
        <v>-375</v>
      </c>
      <c r="N264" s="174">
        <v>0</v>
      </c>
      <c r="O264" s="78">
        <v>0</v>
      </c>
      <c r="P264" s="174">
        <v>0</v>
      </c>
      <c r="Q264" s="230">
        <v>3000</v>
      </c>
      <c r="R264" s="124">
        <v>0</v>
      </c>
    </row>
    <row r="265" spans="1:18" ht="15.75" thickBot="1">
      <c r="B265" s="484"/>
      <c r="C265" s="176" t="s">
        <v>232</v>
      </c>
      <c r="D265" s="85">
        <v>3.7416199999999602</v>
      </c>
      <c r="E265" s="180">
        <v>-5.0800399999994896</v>
      </c>
      <c r="F265" s="85">
        <v>-1.7020600000000701</v>
      </c>
      <c r="G265" s="180">
        <v>-20.541400000001001</v>
      </c>
      <c r="H265" s="85">
        <v>-1.86799999999926</v>
      </c>
      <c r="I265" s="233">
        <v>2869.5380599999999</v>
      </c>
      <c r="K265" s="484"/>
      <c r="L265" s="176" t="s">
        <v>232</v>
      </c>
      <c r="M265" s="85">
        <v>0</v>
      </c>
      <c r="N265" s="180">
        <v>0</v>
      </c>
      <c r="O265" s="85">
        <v>0</v>
      </c>
      <c r="P265" s="180">
        <v>0</v>
      </c>
      <c r="Q265" s="85">
        <v>0</v>
      </c>
      <c r="R265" s="233">
        <v>3300</v>
      </c>
    </row>
    <row r="266" spans="1:18" ht="15.75" thickBot="1">
      <c r="C266" s="227"/>
      <c r="D266" s="225"/>
      <c r="E266" s="225"/>
      <c r="F266" s="225"/>
      <c r="G266" s="225"/>
      <c r="H266" s="225"/>
      <c r="I266" s="225"/>
      <c r="K266" s="1"/>
      <c r="L266" s="227"/>
      <c r="M266" s="225"/>
      <c r="N266" s="225"/>
      <c r="O266" s="225"/>
      <c r="P266" s="225"/>
      <c r="Q266" s="225"/>
      <c r="R266" s="225"/>
    </row>
    <row r="267" spans="1:18">
      <c r="C267" s="227"/>
      <c r="D267" s="486" t="s">
        <v>148</v>
      </c>
      <c r="E267" s="486"/>
      <c r="F267" s="486"/>
      <c r="G267" s="486"/>
      <c r="H267" s="486"/>
      <c r="I267" s="486"/>
      <c r="K267" s="1"/>
      <c r="L267" s="227"/>
      <c r="M267" s="486" t="s">
        <v>148</v>
      </c>
      <c r="N267" s="486"/>
      <c r="O267" s="486"/>
      <c r="P267" s="486"/>
      <c r="Q267" s="486"/>
      <c r="R267" s="486"/>
    </row>
    <row r="268" spans="1:18" ht="15.75" thickBot="1">
      <c r="C268" s="227"/>
      <c r="D268" s="234" t="s">
        <v>234</v>
      </c>
      <c r="E268" s="113" t="s">
        <v>235</v>
      </c>
      <c r="F268" s="163" t="s">
        <v>236</v>
      </c>
      <c r="G268" s="113" t="s">
        <v>237</v>
      </c>
      <c r="H268" s="163" t="s">
        <v>237</v>
      </c>
      <c r="I268" s="113" t="s">
        <v>238</v>
      </c>
      <c r="K268" s="1"/>
      <c r="L268" s="227"/>
      <c r="M268" s="234" t="s">
        <v>234</v>
      </c>
      <c r="N268" s="113" t="s">
        <v>235</v>
      </c>
      <c r="O268" s="163" t="s">
        <v>236</v>
      </c>
      <c r="P268" s="113" t="s">
        <v>237</v>
      </c>
      <c r="Q268" s="163" t="s">
        <v>237</v>
      </c>
      <c r="R268" s="113" t="s">
        <v>238</v>
      </c>
    </row>
    <row r="269" spans="1:18">
      <c r="B269" s="484" t="s">
        <v>225</v>
      </c>
      <c r="C269" s="235" t="s">
        <v>234</v>
      </c>
      <c r="D269" s="236">
        <v>1218.1931999999999</v>
      </c>
      <c r="E269" s="96">
        <v>-5.4468199999996596</v>
      </c>
      <c r="F269" s="237">
        <v>-3.6894000000006599</v>
      </c>
      <c r="G269" s="96">
        <v>2.6663999999955199</v>
      </c>
      <c r="H269" s="237">
        <v>14.8700000000063</v>
      </c>
      <c r="I269" s="96">
        <v>27.84432</v>
      </c>
      <c r="K269" s="484" t="s">
        <v>225</v>
      </c>
      <c r="L269" s="235" t="s">
        <v>234</v>
      </c>
      <c r="M269" s="236">
        <v>1350</v>
      </c>
      <c r="N269" s="96">
        <v>10</v>
      </c>
      <c r="O269" s="237">
        <v>30</v>
      </c>
      <c r="P269" s="96">
        <v>0</v>
      </c>
      <c r="Q269" s="237">
        <v>25</v>
      </c>
      <c r="R269" s="96">
        <v>20</v>
      </c>
    </row>
    <row r="270" spans="1:18">
      <c r="B270" s="484"/>
      <c r="C270" s="238" t="s">
        <v>235</v>
      </c>
      <c r="D270" s="123">
        <v>-0.308399999999665</v>
      </c>
      <c r="E270" s="230">
        <v>1241.5172399999999</v>
      </c>
      <c r="F270" s="174">
        <v>5.5058000000003604</v>
      </c>
      <c r="G270" s="78">
        <v>-17.0094000000026</v>
      </c>
      <c r="H270" s="174">
        <v>4.7160000000003501</v>
      </c>
      <c r="I270" s="78">
        <v>3.0686600000001101</v>
      </c>
      <c r="K270" s="484"/>
      <c r="L270" s="238" t="s">
        <v>235</v>
      </c>
      <c r="M270" s="123">
        <v>-9.69704000000036</v>
      </c>
      <c r="N270" s="230">
        <v>1350</v>
      </c>
      <c r="O270" s="174">
        <v>20.147080000000098</v>
      </c>
      <c r="P270" s="78">
        <v>-25</v>
      </c>
      <c r="Q270" s="174">
        <v>0</v>
      </c>
      <c r="R270" s="78">
        <v>20</v>
      </c>
    </row>
    <row r="271" spans="1:18">
      <c r="B271" s="484"/>
      <c r="C271" s="238" t="s">
        <v>236</v>
      </c>
      <c r="D271" s="123">
        <v>-4.3881999999987302</v>
      </c>
      <c r="E271" s="78">
        <v>0.93510000000014804</v>
      </c>
      <c r="F271" s="229">
        <v>966.20199999999897</v>
      </c>
      <c r="G271" s="78">
        <v>-19.440200000000001</v>
      </c>
      <c r="H271" s="174">
        <v>11.310000000001301</v>
      </c>
      <c r="I271" s="78">
        <v>5.80478000000008</v>
      </c>
      <c r="K271" s="484"/>
      <c r="L271" s="238" t="s">
        <v>236</v>
      </c>
      <c r="M271" s="123">
        <v>-0.31590000000005602</v>
      </c>
      <c r="N271" s="78">
        <v>1.7253999999999201</v>
      </c>
      <c r="O271" s="229">
        <v>1100</v>
      </c>
      <c r="P271" s="78">
        <v>-10</v>
      </c>
      <c r="Q271" s="174">
        <v>-30</v>
      </c>
      <c r="R271" s="78">
        <v>20</v>
      </c>
    </row>
    <row r="272" spans="1:18">
      <c r="B272" s="484"/>
      <c r="C272" s="238" t="s">
        <v>239</v>
      </c>
      <c r="D272" s="123">
        <v>-57.049199999998798</v>
      </c>
      <c r="E272" s="232">
        <v>262.67964000000001</v>
      </c>
      <c r="F272" s="174">
        <v>-21.5714000000007</v>
      </c>
      <c r="G272" s="230">
        <v>3459.3480199999999</v>
      </c>
      <c r="H272" s="174">
        <v>292.18800000000698</v>
      </c>
      <c r="I272" s="78">
        <v>7.4488200000001301</v>
      </c>
      <c r="K272" s="484"/>
      <c r="L272" s="238" t="s">
        <v>239</v>
      </c>
      <c r="M272" s="123">
        <v>10</v>
      </c>
      <c r="N272" s="232">
        <v>-15</v>
      </c>
      <c r="O272" s="174">
        <v>20</v>
      </c>
      <c r="P272" s="230">
        <v>4300</v>
      </c>
      <c r="Q272" s="174">
        <v>30</v>
      </c>
      <c r="R272" s="78">
        <v>20</v>
      </c>
    </row>
    <row r="273" spans="2:18">
      <c r="B273" s="484"/>
      <c r="C273" s="238" t="s">
        <v>237</v>
      </c>
      <c r="D273" s="239">
        <v>-262.91359999999901</v>
      </c>
      <c r="E273" s="78">
        <v>-45.6432000000001</v>
      </c>
      <c r="F273" s="174">
        <v>2.5929999999989399</v>
      </c>
      <c r="G273" s="78">
        <v>-281.6866</v>
      </c>
      <c r="H273" s="229">
        <v>3488.288</v>
      </c>
      <c r="I273" s="78">
        <v>-7.3114999999999997</v>
      </c>
      <c r="K273" s="484"/>
      <c r="L273" s="238" t="s">
        <v>237</v>
      </c>
      <c r="M273" s="239">
        <v>30</v>
      </c>
      <c r="N273" s="78">
        <v>0</v>
      </c>
      <c r="O273" s="174">
        <v>30.422260000000101</v>
      </c>
      <c r="P273" s="78">
        <v>40</v>
      </c>
      <c r="Q273" s="229">
        <v>4300</v>
      </c>
      <c r="R273" s="78">
        <v>20</v>
      </c>
    </row>
    <row r="274" spans="2:18" ht="15.75" thickBot="1">
      <c r="B274" s="484"/>
      <c r="C274" s="240" t="s">
        <v>238</v>
      </c>
      <c r="D274" s="128">
        <v>56.707200000000498</v>
      </c>
      <c r="E274" s="85">
        <v>15.5838800000005</v>
      </c>
      <c r="F274" s="180">
        <v>-7.5850000000013997</v>
      </c>
      <c r="G274" s="85">
        <v>31.742999999998599</v>
      </c>
      <c r="H274" s="180">
        <v>-17.245999999997402</v>
      </c>
      <c r="I274" s="241">
        <v>2249.0559600000001</v>
      </c>
      <c r="K274" s="484"/>
      <c r="L274" s="240" t="s">
        <v>238</v>
      </c>
      <c r="M274" s="128">
        <v>0</v>
      </c>
      <c r="N274" s="85">
        <v>10</v>
      </c>
      <c r="O274" s="180">
        <v>30</v>
      </c>
      <c r="P274" s="85">
        <v>-25</v>
      </c>
      <c r="Q274" s="180">
        <v>-15</v>
      </c>
      <c r="R274" s="241">
        <v>2600</v>
      </c>
    </row>
    <row r="275" spans="2:18" ht="15.75" thickBot="1">
      <c r="K275" s="1"/>
      <c r="L275" s="2"/>
    </row>
    <row r="276" spans="2:18">
      <c r="D276" s="486" t="s">
        <v>148</v>
      </c>
      <c r="E276" s="486"/>
      <c r="F276" s="486"/>
      <c r="G276" s="486"/>
      <c r="H276" s="486"/>
      <c r="I276" s="486"/>
      <c r="K276" s="1"/>
      <c r="L276" s="2"/>
      <c r="M276" s="486" t="s">
        <v>148</v>
      </c>
      <c r="N276" s="486"/>
      <c r="O276" s="486"/>
      <c r="P276" s="486"/>
      <c r="Q276" s="486"/>
      <c r="R276" s="486"/>
    </row>
    <row r="277" spans="2:18" ht="15.75" thickBot="1">
      <c r="C277" s="227"/>
      <c r="D277" s="132" t="s">
        <v>55</v>
      </c>
      <c r="E277" s="21" t="s">
        <v>61</v>
      </c>
      <c r="F277" s="133" t="s">
        <v>67</v>
      </c>
      <c r="G277" s="196" t="s">
        <v>73</v>
      </c>
      <c r="H277" s="21" t="s">
        <v>79</v>
      </c>
      <c r="I277" s="133" t="s">
        <v>85</v>
      </c>
      <c r="K277" s="1"/>
      <c r="L277" s="227"/>
      <c r="M277" s="132" t="s">
        <v>55</v>
      </c>
      <c r="N277" s="21" t="s">
        <v>61</v>
      </c>
      <c r="O277" s="133" t="s">
        <v>67</v>
      </c>
      <c r="P277" s="196" t="s">
        <v>73</v>
      </c>
      <c r="Q277" s="21" t="s">
        <v>79</v>
      </c>
      <c r="R277" s="133" t="s">
        <v>85</v>
      </c>
    </row>
    <row r="278" spans="2:18">
      <c r="B278" s="484" t="s">
        <v>225</v>
      </c>
      <c r="C278" s="164" t="s">
        <v>228</v>
      </c>
      <c r="D278" s="118">
        <v>-1503.04358</v>
      </c>
      <c r="E278" s="72">
        <v>746.36264000000097</v>
      </c>
      <c r="F278" s="119">
        <v>745.33792000000005</v>
      </c>
      <c r="G278" s="168">
        <v>14.4272000000008</v>
      </c>
      <c r="H278" s="72">
        <v>-6.8192200000002003</v>
      </c>
      <c r="I278" s="119">
        <v>11.2204000000006</v>
      </c>
      <c r="K278" s="484" t="s">
        <v>225</v>
      </c>
      <c r="L278" s="164" t="s">
        <v>228</v>
      </c>
      <c r="M278" s="118">
        <v>1800</v>
      </c>
      <c r="N278" s="72">
        <v>-820</v>
      </c>
      <c r="O278" s="119">
        <v>-820</v>
      </c>
      <c r="P278" s="168">
        <v>0</v>
      </c>
      <c r="Q278" s="72">
        <v>0</v>
      </c>
      <c r="R278" s="119">
        <v>0</v>
      </c>
    </row>
    <row r="279" spans="2:18" ht="15" customHeight="1">
      <c r="B279" s="484"/>
      <c r="C279" s="170" t="s">
        <v>229</v>
      </c>
      <c r="D279" s="123">
        <v>5.4370400000000796</v>
      </c>
      <c r="E279" s="78">
        <v>-1293.7335399999999</v>
      </c>
      <c r="F279" s="124">
        <v>1310.0750399999999</v>
      </c>
      <c r="G279" s="174">
        <v>-0.79279999999948803</v>
      </c>
      <c r="H279" s="78">
        <v>-12.4755600000002</v>
      </c>
      <c r="I279" s="124">
        <v>11.825400000000601</v>
      </c>
      <c r="K279" s="484"/>
      <c r="L279" s="170" t="s">
        <v>229</v>
      </c>
      <c r="M279" s="123">
        <v>0</v>
      </c>
      <c r="N279" s="78">
        <v>1500</v>
      </c>
      <c r="O279" s="124">
        <v>-1500</v>
      </c>
      <c r="P279" s="174">
        <v>0</v>
      </c>
      <c r="Q279" s="78">
        <v>0</v>
      </c>
      <c r="R279" s="124">
        <v>0</v>
      </c>
    </row>
    <row r="280" spans="2:18">
      <c r="B280" s="484"/>
      <c r="C280" s="170" t="s">
        <v>230</v>
      </c>
      <c r="D280" s="123">
        <v>-0.13871999999992099</v>
      </c>
      <c r="E280" s="78">
        <v>-11.250859999999999</v>
      </c>
      <c r="F280" s="124">
        <v>-7.9806000000007797</v>
      </c>
      <c r="G280" s="174">
        <v>637.23040000000105</v>
      </c>
      <c r="H280" s="78">
        <v>630.91273079999996</v>
      </c>
      <c r="I280" s="124">
        <v>633.072200000002</v>
      </c>
      <c r="K280" s="484"/>
      <c r="L280" s="170" t="s">
        <v>230</v>
      </c>
      <c r="M280" s="123">
        <v>0</v>
      </c>
      <c r="N280" s="78">
        <v>0</v>
      </c>
      <c r="O280" s="124">
        <v>0</v>
      </c>
      <c r="P280" s="174">
        <v>771.83216000000004</v>
      </c>
      <c r="Q280" s="78">
        <v>750</v>
      </c>
      <c r="R280" s="124">
        <v>700</v>
      </c>
    </row>
    <row r="281" spans="2:18">
      <c r="B281" s="484"/>
      <c r="C281" s="170" t="s">
        <v>233</v>
      </c>
      <c r="D281" s="123">
        <v>7.10820000000012</v>
      </c>
      <c r="E281" s="78">
        <v>113.30940000000101</v>
      </c>
      <c r="F281" s="124">
        <v>-148.31100000000001</v>
      </c>
      <c r="G281" s="174">
        <v>-2488.6745999999998</v>
      </c>
      <c r="H281" s="78">
        <v>2124.0918000000001</v>
      </c>
      <c r="I281" s="124">
        <v>370.10759999999999</v>
      </c>
      <c r="K281" s="484"/>
      <c r="L281" s="170" t="s">
        <v>233</v>
      </c>
      <c r="M281" s="123">
        <v>0</v>
      </c>
      <c r="N281" s="78">
        <v>160</v>
      </c>
      <c r="O281" s="124">
        <v>-160</v>
      </c>
      <c r="P281" s="174">
        <v>-2950</v>
      </c>
      <c r="Q281" s="78">
        <v>2450</v>
      </c>
      <c r="R281" s="124">
        <v>450</v>
      </c>
    </row>
    <row r="282" spans="2:18">
      <c r="B282" s="484"/>
      <c r="C282" s="170" t="s">
        <v>231</v>
      </c>
      <c r="D282" s="123">
        <v>-166.02459999999999</v>
      </c>
      <c r="E282" s="78">
        <v>94.325640000000604</v>
      </c>
      <c r="F282" s="124">
        <v>80.076800000000702</v>
      </c>
      <c r="G282" s="174">
        <v>-991.16309999999999</v>
      </c>
      <c r="H282" s="78">
        <v>-1656.0064</v>
      </c>
      <c r="I282" s="124">
        <v>2643.2328699999998</v>
      </c>
      <c r="K282" s="484"/>
      <c r="L282" s="170" t="s">
        <v>231</v>
      </c>
      <c r="M282" s="123">
        <v>-200</v>
      </c>
      <c r="N282" s="78">
        <v>110</v>
      </c>
      <c r="O282" s="124">
        <v>70</v>
      </c>
      <c r="P282" s="174">
        <v>-1150</v>
      </c>
      <c r="Q282" s="78">
        <v>-2000</v>
      </c>
      <c r="R282" s="124">
        <v>3050</v>
      </c>
    </row>
    <row r="283" spans="2:18" ht="15.75" thickBot="1">
      <c r="B283" s="484"/>
      <c r="C283" s="176" t="s">
        <v>232</v>
      </c>
      <c r="D283" s="128">
        <v>-2753.3745800000002</v>
      </c>
      <c r="E283" s="85">
        <v>-2754.4393399999999</v>
      </c>
      <c r="F283" s="129">
        <v>-2762.1768000000002</v>
      </c>
      <c r="G283" s="180">
        <v>13.682800000001</v>
      </c>
      <c r="H283" s="85">
        <v>-24.531900000000501</v>
      </c>
      <c r="I283" s="129">
        <v>-5.91439999999875</v>
      </c>
      <c r="K283" s="484"/>
      <c r="L283" s="176" t="s">
        <v>232</v>
      </c>
      <c r="M283" s="128">
        <v>3200</v>
      </c>
      <c r="N283" s="85">
        <v>3200</v>
      </c>
      <c r="O283" s="129">
        <v>3200</v>
      </c>
      <c r="P283" s="180">
        <v>0</v>
      </c>
      <c r="Q283" s="85">
        <v>0</v>
      </c>
      <c r="R283" s="129">
        <v>0</v>
      </c>
    </row>
    <row r="284" spans="2:18">
      <c r="C284" s="227"/>
      <c r="D284" s="225"/>
      <c r="E284" s="225"/>
      <c r="F284" s="225"/>
      <c r="G284" s="225"/>
      <c r="H284" s="225"/>
      <c r="I284" s="225"/>
      <c r="K284" s="1"/>
      <c r="L284" s="227"/>
      <c r="M284" s="225"/>
      <c r="N284" s="225"/>
      <c r="O284" s="225"/>
      <c r="P284" s="225"/>
      <c r="Q284" s="225"/>
      <c r="R284" s="225"/>
    </row>
    <row r="285" spans="2:18">
      <c r="C285" s="227"/>
      <c r="D285" s="510" t="s">
        <v>148</v>
      </c>
      <c r="E285" s="510"/>
      <c r="F285" s="510"/>
      <c r="G285" s="510"/>
      <c r="H285" s="510"/>
      <c r="I285" s="510"/>
      <c r="K285" s="1"/>
      <c r="L285" s="227"/>
      <c r="M285" s="510" t="s">
        <v>148</v>
      </c>
      <c r="N285" s="510"/>
      <c r="O285" s="510"/>
      <c r="P285" s="510"/>
      <c r="Q285" s="510"/>
      <c r="R285" s="510"/>
    </row>
    <row r="286" spans="2:18" ht="15.75" thickBot="1">
      <c r="C286" s="227"/>
      <c r="D286" s="242" t="s">
        <v>57</v>
      </c>
      <c r="E286" s="243" t="s">
        <v>63</v>
      </c>
      <c r="F286" s="244" t="s">
        <v>69</v>
      </c>
      <c r="G286" s="242" t="s">
        <v>75</v>
      </c>
      <c r="H286" s="243" t="s">
        <v>81</v>
      </c>
      <c r="I286" s="245" t="s">
        <v>87</v>
      </c>
      <c r="K286" s="1"/>
      <c r="L286" s="227"/>
      <c r="M286" s="242" t="s">
        <v>57</v>
      </c>
      <c r="N286" s="243" t="s">
        <v>63</v>
      </c>
      <c r="O286" s="244" t="s">
        <v>69</v>
      </c>
      <c r="P286" s="242" t="s">
        <v>75</v>
      </c>
      <c r="Q286" s="243" t="s">
        <v>81</v>
      </c>
      <c r="R286" s="245" t="s">
        <v>87</v>
      </c>
    </row>
    <row r="287" spans="2:18">
      <c r="B287" s="484" t="s">
        <v>225</v>
      </c>
      <c r="C287" s="164" t="s">
        <v>234</v>
      </c>
      <c r="D287" s="118">
        <v>626.098199999999</v>
      </c>
      <c r="E287" s="72">
        <v>-1210.85526</v>
      </c>
      <c r="F287" s="119">
        <v>620.05032000000097</v>
      </c>
      <c r="G287" s="168">
        <v>-24.378000000000601</v>
      </c>
      <c r="H287" s="72">
        <v>-42.469000000001003</v>
      </c>
      <c r="I287" s="119">
        <v>1.3746000000019201</v>
      </c>
      <c r="K287" s="484" t="s">
        <v>225</v>
      </c>
      <c r="L287" s="164" t="s">
        <v>234</v>
      </c>
      <c r="M287" s="118">
        <v>700</v>
      </c>
      <c r="N287" s="72">
        <v>-1350</v>
      </c>
      <c r="O287" s="119">
        <v>650</v>
      </c>
      <c r="P287" s="168">
        <v>0</v>
      </c>
      <c r="Q287" s="72">
        <v>0</v>
      </c>
      <c r="R287" s="119">
        <v>0</v>
      </c>
    </row>
    <row r="288" spans="2:18" ht="15" customHeight="1">
      <c r="B288" s="484"/>
      <c r="C288" s="170" t="s">
        <v>235</v>
      </c>
      <c r="D288" s="123">
        <v>1073.2814000000001</v>
      </c>
      <c r="E288" s="78">
        <v>0.870299999999816</v>
      </c>
      <c r="F288" s="124">
        <v>-1067.6990000000001</v>
      </c>
      <c r="G288" s="174">
        <v>-19.316000000000699</v>
      </c>
      <c r="H288" s="78">
        <v>-35.5576000000001</v>
      </c>
      <c r="I288" s="124">
        <v>8.0917999999955992</v>
      </c>
      <c r="K288" s="484"/>
      <c r="L288" s="170" t="s">
        <v>235</v>
      </c>
      <c r="M288" s="123">
        <v>1200</v>
      </c>
      <c r="N288" s="78">
        <v>0</v>
      </c>
      <c r="O288" s="124">
        <v>-1150</v>
      </c>
      <c r="P288" s="174">
        <v>0</v>
      </c>
      <c r="Q288" s="78">
        <v>0</v>
      </c>
      <c r="R288" s="124">
        <v>0</v>
      </c>
    </row>
    <row r="289" spans="1:18">
      <c r="B289" s="484"/>
      <c r="C289" s="170" t="s">
        <v>236</v>
      </c>
      <c r="D289" s="123">
        <v>6.4669999999996399</v>
      </c>
      <c r="E289" s="78">
        <v>7.0472799999994296</v>
      </c>
      <c r="F289" s="124">
        <v>2.73620000000074</v>
      </c>
      <c r="G289" s="174">
        <v>965.74400000000196</v>
      </c>
      <c r="H289" s="78">
        <v>937.93299999999897</v>
      </c>
      <c r="I289" s="124">
        <v>985.65799999999797</v>
      </c>
      <c r="K289" s="484"/>
      <c r="L289" s="170" t="s">
        <v>236</v>
      </c>
      <c r="M289" s="123">
        <v>0</v>
      </c>
      <c r="N289" s="78">
        <v>0</v>
      </c>
      <c r="O289" s="124">
        <v>0</v>
      </c>
      <c r="P289" s="174">
        <v>1100</v>
      </c>
      <c r="Q289" s="78">
        <v>1100</v>
      </c>
      <c r="R289" s="124">
        <v>1100</v>
      </c>
    </row>
    <row r="290" spans="1:18">
      <c r="B290" s="484"/>
      <c r="C290" s="170" t="s">
        <v>239</v>
      </c>
      <c r="D290" s="123">
        <v>-257.58596</v>
      </c>
      <c r="E290" s="78">
        <v>14.0329799999993</v>
      </c>
      <c r="F290" s="124">
        <v>253.68700000000101</v>
      </c>
      <c r="G290" s="174">
        <v>-2294.8678</v>
      </c>
      <c r="H290" s="78">
        <v>2265.1938</v>
      </c>
      <c r="I290" s="124">
        <v>-54.302599999999998</v>
      </c>
      <c r="K290" s="484"/>
      <c r="L290" s="170" t="s">
        <v>239</v>
      </c>
      <c r="M290" s="123">
        <v>-300</v>
      </c>
      <c r="N290" s="78">
        <v>0</v>
      </c>
      <c r="O290" s="124">
        <v>300</v>
      </c>
      <c r="P290" s="174">
        <v>-2500</v>
      </c>
      <c r="Q290" s="78">
        <v>2500</v>
      </c>
      <c r="R290" s="124">
        <v>-50</v>
      </c>
    </row>
    <row r="291" spans="1:18">
      <c r="B291" s="484"/>
      <c r="C291" s="170" t="s">
        <v>237</v>
      </c>
      <c r="D291" s="123">
        <v>135.63539999999901</v>
      </c>
      <c r="E291" s="78">
        <v>-290.64956000000001</v>
      </c>
      <c r="F291" s="124">
        <v>145.7662</v>
      </c>
      <c r="G291" s="174">
        <v>-1373.1320000000001</v>
      </c>
      <c r="H291" s="78">
        <v>-1275.307</v>
      </c>
      <c r="I291" s="124">
        <v>2679.7136</v>
      </c>
      <c r="K291" s="484"/>
      <c r="L291" s="170" t="s">
        <v>237</v>
      </c>
      <c r="M291" s="123">
        <v>200</v>
      </c>
      <c r="N291" s="78">
        <v>-300</v>
      </c>
      <c r="O291" s="124">
        <v>200</v>
      </c>
      <c r="P291" s="174">
        <v>-1500</v>
      </c>
      <c r="Q291" s="78">
        <v>-1400</v>
      </c>
      <c r="R291" s="124">
        <v>3000</v>
      </c>
    </row>
    <row r="292" spans="1:18" ht="15.75" thickBot="1">
      <c r="B292" s="484"/>
      <c r="C292" s="176" t="s">
        <v>238</v>
      </c>
      <c r="D292" s="128">
        <v>1642.2080000000001</v>
      </c>
      <c r="E292" s="85">
        <v>1567.9863600000001</v>
      </c>
      <c r="F292" s="129">
        <v>1639.0024182</v>
      </c>
      <c r="G292" s="180">
        <v>-12.0560000000023</v>
      </c>
      <c r="H292" s="85">
        <v>11.276399999997899</v>
      </c>
      <c r="I292" s="129">
        <v>-14.4882000000016</v>
      </c>
      <c r="K292" s="484"/>
      <c r="L292" s="176" t="s">
        <v>238</v>
      </c>
      <c r="M292" s="128">
        <v>1800</v>
      </c>
      <c r="N292" s="85">
        <v>1800</v>
      </c>
      <c r="O292" s="129">
        <v>1800</v>
      </c>
      <c r="P292" s="180">
        <v>40</v>
      </c>
      <c r="Q292" s="85">
        <v>40</v>
      </c>
      <c r="R292" s="129">
        <v>40</v>
      </c>
    </row>
    <row r="295" spans="1:18" ht="15.75" thickBot="1">
      <c r="A295" s="42" t="s">
        <v>570</v>
      </c>
    </row>
    <row r="296" spans="1:18" ht="15.75" thickBot="1">
      <c r="A296" s="42" t="s">
        <v>240</v>
      </c>
      <c r="B296" s="132" t="s">
        <v>241</v>
      </c>
      <c r="C296" s="426" t="s">
        <v>242</v>
      </c>
      <c r="D296" s="196" t="s">
        <v>243</v>
      </c>
      <c r="E296" s="426" t="s">
        <v>256</v>
      </c>
      <c r="H296" s="140" t="s">
        <v>131</v>
      </c>
      <c r="I296" s="140" t="s">
        <v>569</v>
      </c>
    </row>
    <row r="297" spans="1:18">
      <c r="B297" s="135">
        <v>3</v>
      </c>
      <c r="C297" s="38">
        <v>610</v>
      </c>
      <c r="D297" s="432" t="s">
        <v>193</v>
      </c>
      <c r="E297" s="326">
        <f>B297*C297</f>
        <v>1830</v>
      </c>
      <c r="H297" s="140" t="s">
        <v>134</v>
      </c>
      <c r="I297" s="140" t="s">
        <v>564</v>
      </c>
    </row>
    <row r="298" spans="1:18">
      <c r="B298" s="427">
        <v>1</v>
      </c>
      <c r="C298" s="41">
        <v>233</v>
      </c>
      <c r="D298" s="198" t="s">
        <v>193</v>
      </c>
      <c r="E298" s="327">
        <f t="shared" ref="E298:E304" si="7">B298*C298</f>
        <v>233</v>
      </c>
      <c r="H298" s="140" t="s">
        <v>137</v>
      </c>
      <c r="I298" s="140" t="s">
        <v>544</v>
      </c>
    </row>
    <row r="299" spans="1:18">
      <c r="A299" s="182" t="s">
        <v>558</v>
      </c>
      <c r="B299" s="427">
        <v>3</v>
      </c>
      <c r="C299" s="41">
        <v>1.1000000000000001</v>
      </c>
      <c r="D299" s="352" t="s">
        <v>193</v>
      </c>
      <c r="E299" s="327">
        <f t="shared" si="7"/>
        <v>3.3000000000000003</v>
      </c>
      <c r="H299" s="140" t="s">
        <v>545</v>
      </c>
      <c r="I299" s="140" t="s">
        <v>546</v>
      </c>
    </row>
    <row r="300" spans="1:18">
      <c r="A300" s="182" t="s">
        <v>559</v>
      </c>
      <c r="B300" s="427">
        <v>6</v>
      </c>
      <c r="C300" s="41">
        <v>2.2000000000000002</v>
      </c>
      <c r="D300" s="352" t="s">
        <v>193</v>
      </c>
      <c r="E300" s="327">
        <f t="shared" si="7"/>
        <v>13.200000000000001</v>
      </c>
    </row>
    <row r="301" spans="1:18">
      <c r="A301" s="182" t="s">
        <v>560</v>
      </c>
      <c r="B301" s="427">
        <v>8</v>
      </c>
      <c r="C301" s="41">
        <v>4.5</v>
      </c>
      <c r="D301" s="352" t="s">
        <v>193</v>
      </c>
      <c r="E301" s="327">
        <f t="shared" si="7"/>
        <v>36</v>
      </c>
    </row>
    <row r="302" spans="1:18">
      <c r="A302" s="182" t="s">
        <v>561</v>
      </c>
      <c r="B302" s="427">
        <v>9</v>
      </c>
      <c r="C302" s="41">
        <v>7.9</v>
      </c>
      <c r="D302" s="352" t="s">
        <v>193</v>
      </c>
      <c r="E302" s="327">
        <f t="shared" si="7"/>
        <v>71.100000000000009</v>
      </c>
    </row>
    <row r="303" spans="1:18" s="140" customFormat="1">
      <c r="A303" s="182" t="s">
        <v>562</v>
      </c>
      <c r="B303" s="427">
        <v>0</v>
      </c>
      <c r="C303" s="41">
        <v>15.6</v>
      </c>
      <c r="D303" s="352" t="s">
        <v>193</v>
      </c>
      <c r="E303" s="327">
        <f t="shared" si="7"/>
        <v>0</v>
      </c>
    </row>
    <row r="304" spans="1:18" s="140" customFormat="1" ht="15.75" thickBot="1">
      <c r="A304" s="182" t="s">
        <v>563</v>
      </c>
      <c r="B304" s="138">
        <v>6</v>
      </c>
      <c r="C304" s="58">
        <v>27.2</v>
      </c>
      <c r="D304" s="433" t="s">
        <v>193</v>
      </c>
      <c r="E304" s="328">
        <f t="shared" si="7"/>
        <v>163.19999999999999</v>
      </c>
    </row>
    <row r="305" spans="1:13" s="140" customFormat="1" ht="15.75" thickBot="1">
      <c r="A305" s="1"/>
      <c r="B305" s="425"/>
      <c r="C305" s="425"/>
      <c r="D305" s="425"/>
      <c r="E305" s="434">
        <f>SUM(E297:E304)</f>
        <v>2349.7999999999997</v>
      </c>
      <c r="H305" s="140">
        <f>(2481-E305)*100/2481</f>
        <v>5.2881902458686127</v>
      </c>
    </row>
    <row r="306" spans="1:13" s="140" customFormat="1">
      <c r="A306" s="1"/>
      <c r="B306" s="425"/>
      <c r="C306" s="425"/>
      <c r="D306" s="425"/>
      <c r="E306" s="182"/>
    </row>
    <row r="307" spans="1:13" s="140" customFormat="1">
      <c r="A307" s="1"/>
      <c r="B307" s="425"/>
      <c r="C307" s="425"/>
      <c r="D307" s="425"/>
      <c r="E307" s="182"/>
    </row>
    <row r="308" spans="1:13" ht="15.75" thickBot="1">
      <c r="B308" s="18"/>
      <c r="C308" s="18"/>
      <c r="D308" s="52"/>
      <c r="E308" s="182"/>
    </row>
    <row r="309" spans="1:13" ht="15.75" thickBot="1">
      <c r="B309" s="486" t="s">
        <v>49</v>
      </c>
      <c r="C309" s="486"/>
      <c r="D309" s="486"/>
      <c r="E309" s="486"/>
    </row>
    <row r="310" spans="1:13" ht="15.75" thickBot="1">
      <c r="B310" s="112" t="s">
        <v>241</v>
      </c>
      <c r="C310" s="64" t="s">
        <v>248</v>
      </c>
      <c r="D310" s="21" t="s">
        <v>249</v>
      </c>
      <c r="E310" s="21" t="s">
        <v>250</v>
      </c>
      <c r="G310" s="15"/>
      <c r="H310" s="335"/>
      <c r="I310" s="335"/>
      <c r="J310" s="335"/>
      <c r="K310" s="335"/>
      <c r="L310" s="15"/>
      <c r="M310" s="15"/>
    </row>
    <row r="311" spans="1:13">
      <c r="B311" s="51"/>
      <c r="C311" s="88">
        <f>C297*0.45359237</f>
        <v>276.6913457</v>
      </c>
      <c r="D311" s="70">
        <f t="shared" ref="D311:D316" si="8">E311/0.459</f>
        <v>0</v>
      </c>
      <c r="E311" s="312">
        <f t="shared" ref="E311:E316" si="9">B311*C311</f>
        <v>0</v>
      </c>
      <c r="G311" s="15"/>
      <c r="H311" s="336"/>
      <c r="I311" s="336"/>
      <c r="J311" s="80"/>
      <c r="K311" s="52"/>
      <c r="L311" s="15"/>
      <c r="M311" s="15"/>
    </row>
    <row r="312" spans="1:13">
      <c r="B312" s="56"/>
      <c r="C312" s="75">
        <f>C298*0.45359237</f>
        <v>105.68702221000001</v>
      </c>
      <c r="D312" s="76">
        <f t="shared" si="8"/>
        <v>0</v>
      </c>
      <c r="E312" s="313">
        <f t="shared" si="9"/>
        <v>0</v>
      </c>
      <c r="G312" s="15"/>
      <c r="H312" s="336"/>
      <c r="I312" s="336"/>
      <c r="J312" s="80"/>
      <c r="K312" s="336"/>
      <c r="L312" s="15"/>
      <c r="M312" s="15"/>
    </row>
    <row r="313" spans="1:13">
      <c r="B313" s="56"/>
      <c r="C313" s="75">
        <f>C299</f>
        <v>1.1000000000000001</v>
      </c>
      <c r="D313" s="76">
        <f t="shared" si="8"/>
        <v>0</v>
      </c>
      <c r="E313" s="313">
        <f t="shared" si="9"/>
        <v>0</v>
      </c>
      <c r="G313" s="15"/>
      <c r="H313" s="336"/>
      <c r="I313" s="80"/>
      <c r="J313" s="80"/>
      <c r="K313" s="336"/>
      <c r="L313" s="15"/>
      <c r="M313" s="15"/>
    </row>
    <row r="314" spans="1:13">
      <c r="B314" s="41"/>
      <c r="C314" s="56">
        <v>7.8</v>
      </c>
      <c r="D314" s="76">
        <f t="shared" si="8"/>
        <v>0</v>
      </c>
      <c r="E314" s="313">
        <f t="shared" si="9"/>
        <v>0</v>
      </c>
      <c r="G314" s="15"/>
      <c r="H314" s="336"/>
      <c r="I314" s="80"/>
      <c r="J314" s="80"/>
      <c r="K314" s="336"/>
      <c r="L314" s="15"/>
      <c r="M314" s="15"/>
    </row>
    <row r="315" spans="1:13">
      <c r="B315" s="41"/>
      <c r="C315" s="56">
        <v>4.5</v>
      </c>
      <c r="D315" s="76">
        <f t="shared" si="8"/>
        <v>0</v>
      </c>
      <c r="E315" s="313">
        <f t="shared" si="9"/>
        <v>0</v>
      </c>
      <c r="G315" s="15"/>
      <c r="H315" s="336"/>
      <c r="I315" s="80"/>
      <c r="J315" s="80"/>
      <c r="K315" s="336"/>
      <c r="L315" s="15"/>
      <c r="M315" s="15"/>
    </row>
    <row r="316" spans="1:13" ht="15.75" thickBot="1">
      <c r="B316" s="246"/>
      <c r="C316" s="138">
        <v>2.1</v>
      </c>
      <c r="D316" s="83">
        <f t="shared" si="8"/>
        <v>0</v>
      </c>
      <c r="E316" s="314">
        <f t="shared" si="9"/>
        <v>0</v>
      </c>
      <c r="G316" s="15"/>
      <c r="H316" s="336"/>
      <c r="I316" s="332"/>
      <c r="J316" s="80"/>
      <c r="K316" s="336"/>
      <c r="L316" s="15"/>
      <c r="M316" s="15"/>
    </row>
    <row r="317" spans="1:13" ht="15.75" thickBot="1">
      <c r="B317" s="509" t="s">
        <v>251</v>
      </c>
      <c r="C317" s="509"/>
      <c r="D317" s="369">
        <f>SUM(D311:D316)</f>
        <v>0</v>
      </c>
      <c r="E317" s="247">
        <f>SUM(E311:E316)</f>
        <v>0</v>
      </c>
      <c r="G317" s="15"/>
      <c r="H317" s="336"/>
      <c r="I317" s="336"/>
      <c r="J317" s="80"/>
      <c r="K317" s="52"/>
      <c r="L317" s="15"/>
      <c r="M317" s="15"/>
    </row>
    <row r="319" spans="1:13">
      <c r="E319" s="249"/>
    </row>
    <row r="320" spans="1:13">
      <c r="A320" s="42" t="s">
        <v>48</v>
      </c>
    </row>
    <row r="321" spans="1:9">
      <c r="A321" s="42" t="s">
        <v>571</v>
      </c>
      <c r="F321" s="140">
        <f>28.9/0.45</f>
        <v>64.222222222222214</v>
      </c>
    </row>
    <row r="323" spans="1:9">
      <c r="A323" s="1" t="s">
        <v>252</v>
      </c>
      <c r="B323" s="1">
        <v>12</v>
      </c>
      <c r="C323" s="2" t="s">
        <v>193</v>
      </c>
    </row>
    <row r="324" spans="1:9">
      <c r="A324" s="1" t="s">
        <v>253</v>
      </c>
      <c r="B324" s="1">
        <v>10</v>
      </c>
      <c r="C324" s="2" t="s">
        <v>193</v>
      </c>
    </row>
    <row r="325" spans="1:9">
      <c r="A325" s="1" t="s">
        <v>254</v>
      </c>
      <c r="B325" s="1">
        <v>10</v>
      </c>
      <c r="C325" s="2" t="s">
        <v>193</v>
      </c>
    </row>
    <row r="326" spans="1:9" ht="15.75" thickBot="1">
      <c r="H326" s="140" t="s">
        <v>131</v>
      </c>
      <c r="I326" s="140" t="s">
        <v>550</v>
      </c>
    </row>
    <row r="327" spans="1:9" ht="15.75" thickBot="1">
      <c r="A327" s="486" t="s">
        <v>48</v>
      </c>
      <c r="B327" s="486"/>
      <c r="C327" s="486"/>
      <c r="E327" s="486" t="s">
        <v>48</v>
      </c>
      <c r="F327" s="486"/>
      <c r="G327" s="250"/>
      <c r="H327" s="140" t="s">
        <v>134</v>
      </c>
      <c r="I327" s="140" t="s">
        <v>547</v>
      </c>
    </row>
    <row r="328" spans="1:9" ht="15.75" thickBot="1">
      <c r="A328" s="112" t="s">
        <v>255</v>
      </c>
      <c r="B328" s="21" t="s">
        <v>256</v>
      </c>
      <c r="C328" s="133" t="s">
        <v>248</v>
      </c>
      <c r="E328" s="112" t="s">
        <v>255</v>
      </c>
      <c r="F328" s="64" t="s">
        <v>248</v>
      </c>
      <c r="H328" s="140" t="s">
        <v>137</v>
      </c>
      <c r="I328" s="140" t="s">
        <v>548</v>
      </c>
    </row>
    <row r="329" spans="1:9">
      <c r="A329" s="51" t="s">
        <v>257</v>
      </c>
      <c r="B329" s="135"/>
      <c r="C329" s="68">
        <f t="shared" ref="C329:C334" si="10">B329*0.454</f>
        <v>0</v>
      </c>
      <c r="E329" s="51" t="s">
        <v>257</v>
      </c>
      <c r="F329" s="68">
        <f t="shared" ref="F329:F335" si="11">C329</f>
        <v>0</v>
      </c>
    </row>
    <row r="330" spans="1:9">
      <c r="A330" s="41" t="s">
        <v>258</v>
      </c>
      <c r="B330" s="56"/>
      <c r="C330" s="74">
        <f t="shared" si="10"/>
        <v>0</v>
      </c>
      <c r="E330" s="56" t="s">
        <v>258</v>
      </c>
      <c r="F330" s="74">
        <f t="shared" si="11"/>
        <v>0</v>
      </c>
    </row>
    <row r="331" spans="1:9" ht="15.75" thickBot="1">
      <c r="A331" s="41" t="s">
        <v>259</v>
      </c>
      <c r="B331" s="56"/>
      <c r="C331" s="74">
        <f t="shared" si="10"/>
        <v>0</v>
      </c>
      <c r="E331" s="56" t="s">
        <v>259</v>
      </c>
      <c r="F331" s="74">
        <f t="shared" si="11"/>
        <v>0</v>
      </c>
    </row>
    <row r="332" spans="1:9" ht="15.75" thickBot="1">
      <c r="A332" s="41" t="s">
        <v>260</v>
      </c>
      <c r="B332" s="56"/>
      <c r="C332" s="74">
        <f t="shared" si="10"/>
        <v>0</v>
      </c>
      <c r="E332" s="56" t="s">
        <v>260</v>
      </c>
      <c r="F332" s="74">
        <f t="shared" si="11"/>
        <v>0</v>
      </c>
      <c r="H332" s="486" t="s">
        <v>48</v>
      </c>
      <c r="I332" s="486"/>
    </row>
    <row r="333" spans="1:9" ht="15.75" thickBot="1">
      <c r="A333" s="41" t="s">
        <v>261</v>
      </c>
      <c r="B333" s="56"/>
      <c r="C333" s="74">
        <f t="shared" si="10"/>
        <v>0</v>
      </c>
      <c r="E333" s="56" t="s">
        <v>261</v>
      </c>
      <c r="F333" s="74">
        <f t="shared" si="11"/>
        <v>0</v>
      </c>
      <c r="H333" s="112" t="s">
        <v>255</v>
      </c>
      <c r="I333" s="424" t="s">
        <v>256</v>
      </c>
    </row>
    <row r="334" spans="1:9" ht="15.75" thickBot="1">
      <c r="A334" s="204" t="s">
        <v>262</v>
      </c>
      <c r="B334" s="246"/>
      <c r="C334" s="81">
        <f t="shared" si="10"/>
        <v>0</v>
      </c>
      <c r="E334" s="246" t="s">
        <v>262</v>
      </c>
      <c r="F334" s="81">
        <f t="shared" si="11"/>
        <v>0</v>
      </c>
      <c r="H334" s="430" t="s">
        <v>131</v>
      </c>
      <c r="I334" s="68">
        <v>30</v>
      </c>
    </row>
    <row r="335" spans="1:9" ht="15.75" thickBot="1">
      <c r="A335" s="112" t="s">
        <v>263</v>
      </c>
      <c r="B335" s="157">
        <f>SUM(B329:B334)</f>
        <v>0</v>
      </c>
      <c r="C335" s="251">
        <f>SUM(C329:C334)</f>
        <v>0</v>
      </c>
      <c r="E335" s="112" t="s">
        <v>263</v>
      </c>
      <c r="F335" s="252">
        <f t="shared" si="11"/>
        <v>0</v>
      </c>
      <c r="H335" s="431" t="s">
        <v>134</v>
      </c>
      <c r="I335" s="74">
        <f>3*0.5+4*1+1*2</f>
        <v>7.5</v>
      </c>
    </row>
    <row r="336" spans="1:9" ht="15.75" thickBot="1">
      <c r="H336" s="431" t="s">
        <v>137</v>
      </c>
      <c r="I336" s="74">
        <v>30</v>
      </c>
    </row>
    <row r="337" spans="1:9" ht="15.75" thickBot="1">
      <c r="H337" s="112" t="s">
        <v>263</v>
      </c>
      <c r="I337" s="252">
        <f>SUM(I334:I336)</f>
        <v>67.5</v>
      </c>
    </row>
    <row r="338" spans="1:9">
      <c r="H338" s="425"/>
      <c r="I338" s="332"/>
    </row>
    <row r="339" spans="1:9">
      <c r="A339" s="1" t="s">
        <v>264</v>
      </c>
      <c r="B339" s="1">
        <v>0.28899999999999998</v>
      </c>
      <c r="C339" s="2" t="s">
        <v>265</v>
      </c>
      <c r="H339" s="425"/>
      <c r="I339" s="332"/>
    </row>
    <row r="340" spans="1:9">
      <c r="A340" s="1" t="s">
        <v>266</v>
      </c>
    </row>
    <row r="341" spans="1:9">
      <c r="A341" s="1" t="s">
        <v>267</v>
      </c>
      <c r="B341" s="1" t="s">
        <v>268</v>
      </c>
    </row>
    <row r="342" spans="1:9">
      <c r="A342" s="1">
        <v>0.80600000000000005</v>
      </c>
      <c r="B342" s="183">
        <f>A342*$A$352</f>
        <v>5.5972222222222223</v>
      </c>
    </row>
    <row r="343" spans="1:9">
      <c r="A343" s="1">
        <v>0.76</v>
      </c>
      <c r="B343" s="183">
        <f>A343*$A$352</f>
        <v>5.2777777777777777</v>
      </c>
    </row>
    <row r="344" spans="1:9">
      <c r="A344" s="1">
        <v>0.23200000000000001</v>
      </c>
      <c r="B344" s="183">
        <f>A344*$A$352</f>
        <v>1.6111111111111112</v>
      </c>
      <c r="F344" s="140" t="s">
        <v>256</v>
      </c>
    </row>
    <row r="345" spans="1:9">
      <c r="C345" s="140" t="s">
        <v>256</v>
      </c>
      <c r="E345" s="140" t="s">
        <v>557</v>
      </c>
      <c r="F345">
        <v>0.6</v>
      </c>
    </row>
    <row r="346" spans="1:9">
      <c r="A346" s="1" t="s">
        <v>269</v>
      </c>
      <c r="B346" s="1">
        <v>0.5</v>
      </c>
      <c r="C346" s="2">
        <v>3</v>
      </c>
      <c r="E346" s="140" t="s">
        <v>551</v>
      </c>
      <c r="F346">
        <v>1.1000000000000001</v>
      </c>
    </row>
    <row r="347" spans="1:9">
      <c r="A347" s="1" t="s">
        <v>270</v>
      </c>
      <c r="B347" s="1">
        <v>0.14000000000000001</v>
      </c>
      <c r="C347" s="2">
        <v>1</v>
      </c>
      <c r="E347" s="140" t="s">
        <v>552</v>
      </c>
      <c r="F347">
        <v>2.2000000000000002</v>
      </c>
    </row>
    <row r="348" spans="1:9">
      <c r="A348" s="1" t="s">
        <v>271</v>
      </c>
      <c r="B348" s="1">
        <v>0.28000000000000003</v>
      </c>
      <c r="C348" s="2">
        <v>2</v>
      </c>
      <c r="E348" s="140" t="s">
        <v>553</v>
      </c>
      <c r="F348">
        <v>4.5</v>
      </c>
    </row>
    <row r="349" spans="1:9">
      <c r="A349" s="1" t="s">
        <v>272</v>
      </c>
      <c r="B349" s="1">
        <v>0.72</v>
      </c>
      <c r="C349" s="2">
        <v>5</v>
      </c>
      <c r="E349" s="140" t="s">
        <v>554</v>
      </c>
      <c r="F349">
        <v>7.9</v>
      </c>
    </row>
    <row r="350" spans="1:9">
      <c r="A350" s="1" t="s">
        <v>273</v>
      </c>
      <c r="B350" s="1">
        <v>7.0000000000000007E-2</v>
      </c>
      <c r="C350" s="2">
        <v>0.5</v>
      </c>
      <c r="E350" s="140" t="s">
        <v>555</v>
      </c>
      <c r="F350">
        <v>15.6</v>
      </c>
    </row>
    <row r="351" spans="1:9">
      <c r="A351" s="140" t="s">
        <v>549</v>
      </c>
      <c r="E351" s="140" t="s">
        <v>556</v>
      </c>
      <c r="F351">
        <v>27.2</v>
      </c>
    </row>
    <row r="352" spans="1:9">
      <c r="A352" s="1">
        <f>C349/B349</f>
        <v>6.9444444444444446</v>
      </c>
    </row>
    <row r="353" spans="1:5" ht="15.75" thickBot="1"/>
    <row r="354" spans="1:5" ht="16.5" thickBot="1">
      <c r="A354" s="402" t="s">
        <v>445</v>
      </c>
      <c r="B354" s="402" t="s">
        <v>446</v>
      </c>
      <c r="C354" s="476" t="s">
        <v>447</v>
      </c>
      <c r="D354" s="402" t="s">
        <v>123</v>
      </c>
      <c r="E354" s="402" t="s">
        <v>255</v>
      </c>
    </row>
    <row r="355" spans="1:5">
      <c r="A355" s="469" t="s">
        <v>448</v>
      </c>
      <c r="B355" s="470" t="s">
        <v>449</v>
      </c>
      <c r="C355" s="471">
        <v>80</v>
      </c>
      <c r="D355" s="472" t="s">
        <v>450</v>
      </c>
      <c r="E355" s="472" t="s">
        <v>451</v>
      </c>
    </row>
    <row r="356" spans="1:5">
      <c r="A356" s="408" t="s">
        <v>448</v>
      </c>
      <c r="B356" s="403" t="s">
        <v>449</v>
      </c>
      <c r="C356" s="409">
        <v>80</v>
      </c>
      <c r="D356" s="404" t="s">
        <v>452</v>
      </c>
      <c r="E356" s="404" t="s">
        <v>453</v>
      </c>
    </row>
    <row r="357" spans="1:5">
      <c r="A357" s="408" t="s">
        <v>448</v>
      </c>
      <c r="B357" s="403" t="s">
        <v>449</v>
      </c>
      <c r="C357" s="409">
        <v>80</v>
      </c>
      <c r="D357" s="404" t="s">
        <v>454</v>
      </c>
      <c r="E357" s="404" t="s">
        <v>455</v>
      </c>
    </row>
    <row r="358" spans="1:5">
      <c r="A358" s="408" t="s">
        <v>448</v>
      </c>
      <c r="B358" s="403" t="s">
        <v>449</v>
      </c>
      <c r="C358" s="409">
        <v>80</v>
      </c>
      <c r="D358" s="404" t="s">
        <v>456</v>
      </c>
      <c r="E358" s="404" t="s">
        <v>457</v>
      </c>
    </row>
    <row r="359" spans="1:5">
      <c r="A359" s="408" t="s">
        <v>448</v>
      </c>
      <c r="B359" s="403" t="s">
        <v>449</v>
      </c>
      <c r="C359" s="409">
        <v>80</v>
      </c>
      <c r="D359" s="404" t="s">
        <v>458</v>
      </c>
      <c r="E359" s="404" t="s">
        <v>459</v>
      </c>
    </row>
    <row r="360" spans="1:5">
      <c r="A360" s="410" t="s">
        <v>460</v>
      </c>
      <c r="B360" s="405" t="s">
        <v>461</v>
      </c>
      <c r="C360" s="411">
        <v>40</v>
      </c>
      <c r="D360" s="404" t="s">
        <v>462</v>
      </c>
      <c r="E360" s="404" t="s">
        <v>79</v>
      </c>
    </row>
    <row r="361" spans="1:5">
      <c r="A361" s="410" t="s">
        <v>460</v>
      </c>
      <c r="B361" s="405" t="s">
        <v>461</v>
      </c>
      <c r="C361" s="411">
        <v>40</v>
      </c>
      <c r="D361" s="404" t="s">
        <v>463</v>
      </c>
      <c r="E361" s="404" t="s">
        <v>55</v>
      </c>
    </row>
    <row r="362" spans="1:5">
      <c r="A362" s="410" t="s">
        <v>460</v>
      </c>
      <c r="B362" s="405" t="s">
        <v>461</v>
      </c>
      <c r="C362" s="411">
        <v>40</v>
      </c>
      <c r="D362" s="404" t="s">
        <v>464</v>
      </c>
      <c r="E362" s="404" t="s">
        <v>61</v>
      </c>
    </row>
    <row r="363" spans="1:5">
      <c r="A363" s="410" t="s">
        <v>460</v>
      </c>
      <c r="B363" s="405" t="s">
        <v>461</v>
      </c>
      <c r="C363" s="411">
        <v>40</v>
      </c>
      <c r="D363" s="404" t="s">
        <v>465</v>
      </c>
      <c r="E363" s="404" t="s">
        <v>85</v>
      </c>
    </row>
    <row r="364" spans="1:5">
      <c r="A364" s="410" t="s">
        <v>460</v>
      </c>
      <c r="B364" s="405" t="s">
        <v>461</v>
      </c>
      <c r="C364" s="411">
        <v>40</v>
      </c>
      <c r="D364" s="404" t="s">
        <v>466</v>
      </c>
      <c r="E364" s="404" t="s">
        <v>73</v>
      </c>
    </row>
    <row r="365" spans="1:5">
      <c r="A365" s="410" t="s">
        <v>460</v>
      </c>
      <c r="B365" s="405" t="s">
        <v>461</v>
      </c>
      <c r="C365" s="411">
        <v>40</v>
      </c>
      <c r="D365" s="404" t="s">
        <v>467</v>
      </c>
      <c r="E365" s="404" t="s">
        <v>67</v>
      </c>
    </row>
    <row r="366" spans="1:5">
      <c r="A366" s="410" t="s">
        <v>468</v>
      </c>
      <c r="B366" s="405" t="s">
        <v>461</v>
      </c>
      <c r="C366" s="412">
        <v>60</v>
      </c>
      <c r="D366" s="404" t="s">
        <v>469</v>
      </c>
      <c r="E366" s="404" t="s">
        <v>75</v>
      </c>
    </row>
    <row r="367" spans="1:5">
      <c r="A367" s="410" t="s">
        <v>468</v>
      </c>
      <c r="B367" s="405" t="s">
        <v>461</v>
      </c>
      <c r="C367" s="412">
        <v>60</v>
      </c>
      <c r="D367" s="404" t="s">
        <v>470</v>
      </c>
      <c r="E367" s="404" t="s">
        <v>87</v>
      </c>
    </row>
    <row r="368" spans="1:5">
      <c r="A368" s="410" t="s">
        <v>468</v>
      </c>
      <c r="B368" s="405" t="s">
        <v>461</v>
      </c>
      <c r="C368" s="412">
        <v>60</v>
      </c>
      <c r="D368" s="404" t="s">
        <v>471</v>
      </c>
      <c r="E368" s="404" t="s">
        <v>81</v>
      </c>
    </row>
    <row r="369" spans="1:5">
      <c r="A369" s="410" t="s">
        <v>468</v>
      </c>
      <c r="B369" s="405" t="s">
        <v>461</v>
      </c>
      <c r="C369" s="412">
        <v>60</v>
      </c>
      <c r="D369" s="404" t="s">
        <v>472</v>
      </c>
      <c r="E369" s="404" t="s">
        <v>473</v>
      </c>
    </row>
    <row r="370" spans="1:5">
      <c r="A370" s="410" t="s">
        <v>468</v>
      </c>
      <c r="B370" s="405" t="s">
        <v>461</v>
      </c>
      <c r="C370" s="412">
        <v>60</v>
      </c>
      <c r="D370" s="404" t="s">
        <v>474</v>
      </c>
      <c r="E370" s="404" t="s">
        <v>69</v>
      </c>
    </row>
    <row r="371" spans="1:5">
      <c r="A371" s="410" t="s">
        <v>468</v>
      </c>
      <c r="B371" s="405" t="s">
        <v>461</v>
      </c>
      <c r="C371" s="412">
        <v>60</v>
      </c>
      <c r="D371" s="404" t="s">
        <v>475</v>
      </c>
      <c r="E371" s="404" t="s">
        <v>63</v>
      </c>
    </row>
    <row r="372" spans="1:5">
      <c r="A372" s="410" t="s">
        <v>476</v>
      </c>
      <c r="B372" s="406" t="s">
        <v>477</v>
      </c>
      <c r="C372" s="411">
        <v>110</v>
      </c>
      <c r="D372" s="404" t="s">
        <v>478</v>
      </c>
      <c r="E372" s="404" t="s">
        <v>479</v>
      </c>
    </row>
    <row r="373" spans="1:5">
      <c r="A373" s="410" t="s">
        <v>476</v>
      </c>
      <c r="B373" s="406" t="s">
        <v>477</v>
      </c>
      <c r="C373" s="411">
        <v>110</v>
      </c>
      <c r="D373" s="404" t="s">
        <v>480</v>
      </c>
      <c r="E373" s="404" t="s">
        <v>481</v>
      </c>
    </row>
    <row r="374" spans="1:5">
      <c r="A374" s="410" t="s">
        <v>476</v>
      </c>
      <c r="B374" s="406" t="s">
        <v>477</v>
      </c>
      <c r="C374" s="411">
        <v>110</v>
      </c>
      <c r="D374" s="404" t="s">
        <v>482</v>
      </c>
      <c r="E374" s="404" t="s">
        <v>483</v>
      </c>
    </row>
    <row r="375" spans="1:5">
      <c r="A375" s="410" t="s">
        <v>484</v>
      </c>
      <c r="B375" s="406" t="s">
        <v>477</v>
      </c>
      <c r="C375" s="411">
        <v>80</v>
      </c>
      <c r="D375" s="404" t="s">
        <v>485</v>
      </c>
      <c r="E375" s="404" t="s">
        <v>486</v>
      </c>
    </row>
    <row r="376" spans="1:5">
      <c r="A376" s="410" t="s">
        <v>484</v>
      </c>
      <c r="B376" s="406" t="s">
        <v>477</v>
      </c>
      <c r="C376" s="411">
        <v>80</v>
      </c>
      <c r="D376" s="404" t="s">
        <v>487</v>
      </c>
      <c r="E376" s="404" t="s">
        <v>488</v>
      </c>
    </row>
    <row r="377" spans="1:5">
      <c r="A377" s="410" t="s">
        <v>484</v>
      </c>
      <c r="B377" s="406" t="s">
        <v>477</v>
      </c>
      <c r="C377" s="411">
        <v>80</v>
      </c>
      <c r="D377" s="404" t="s">
        <v>489</v>
      </c>
      <c r="E377" s="404" t="s">
        <v>490</v>
      </c>
    </row>
    <row r="378" spans="1:5">
      <c r="A378" s="410" t="s">
        <v>484</v>
      </c>
      <c r="B378" s="406" t="s">
        <v>477</v>
      </c>
      <c r="C378" s="411">
        <v>80</v>
      </c>
      <c r="D378" s="404" t="s">
        <v>491</v>
      </c>
      <c r="E378" s="404" t="s">
        <v>492</v>
      </c>
    </row>
    <row r="379" spans="1:5">
      <c r="A379" s="410" t="s">
        <v>484</v>
      </c>
      <c r="B379" s="406" t="s">
        <v>477</v>
      </c>
      <c r="C379" s="411">
        <v>80</v>
      </c>
      <c r="D379" s="404" t="s">
        <v>493</v>
      </c>
      <c r="E379" s="404" t="s">
        <v>494</v>
      </c>
    </row>
    <row r="380" spans="1:5">
      <c r="A380" s="410" t="s">
        <v>484</v>
      </c>
      <c r="B380" s="406" t="s">
        <v>477</v>
      </c>
      <c r="C380" s="411">
        <v>80</v>
      </c>
      <c r="D380" s="404" t="s">
        <v>495</v>
      </c>
      <c r="E380" s="404" t="s">
        <v>496</v>
      </c>
    </row>
    <row r="381" spans="1:5">
      <c r="A381" s="408" t="s">
        <v>448</v>
      </c>
      <c r="B381" s="403" t="s">
        <v>449</v>
      </c>
      <c r="C381" s="409">
        <v>80</v>
      </c>
      <c r="D381" s="404" t="s">
        <v>497</v>
      </c>
      <c r="E381" s="404" t="s">
        <v>498</v>
      </c>
    </row>
    <row r="382" spans="1:5">
      <c r="A382" s="408" t="s">
        <v>448</v>
      </c>
      <c r="B382" s="403" t="s">
        <v>449</v>
      </c>
      <c r="C382" s="409">
        <v>80</v>
      </c>
      <c r="D382" s="404" t="s">
        <v>499</v>
      </c>
      <c r="E382" s="404" t="s">
        <v>500</v>
      </c>
    </row>
    <row r="383" spans="1:5">
      <c r="A383" s="408" t="s">
        <v>448</v>
      </c>
      <c r="B383" s="403" t="s">
        <v>449</v>
      </c>
      <c r="C383" s="409">
        <v>80</v>
      </c>
      <c r="D383" s="404" t="s">
        <v>501</v>
      </c>
      <c r="E383" s="404" t="s">
        <v>502</v>
      </c>
    </row>
    <row r="384" spans="1:5">
      <c r="A384" s="408" t="s">
        <v>448</v>
      </c>
      <c r="B384" s="403" t="s">
        <v>449</v>
      </c>
      <c r="C384" s="409">
        <v>80</v>
      </c>
      <c r="D384" s="404" t="s">
        <v>503</v>
      </c>
      <c r="E384" s="404" t="s">
        <v>504</v>
      </c>
    </row>
    <row r="385" spans="1:5">
      <c r="A385" s="408" t="s">
        <v>448</v>
      </c>
      <c r="B385" s="403" t="s">
        <v>449</v>
      </c>
      <c r="C385" s="409">
        <v>80</v>
      </c>
      <c r="D385" s="404" t="s">
        <v>505</v>
      </c>
      <c r="E385" s="404" t="s">
        <v>506</v>
      </c>
    </row>
    <row r="386" spans="1:5">
      <c r="A386" s="408" t="s">
        <v>448</v>
      </c>
      <c r="B386" s="403" t="s">
        <v>449</v>
      </c>
      <c r="C386" s="409">
        <v>80</v>
      </c>
      <c r="D386" s="404" t="s">
        <v>507</v>
      </c>
      <c r="E386" s="404" t="s">
        <v>508</v>
      </c>
    </row>
    <row r="387" spans="1:5">
      <c r="A387" s="408" t="s">
        <v>448</v>
      </c>
      <c r="B387" s="403" t="s">
        <v>449</v>
      </c>
      <c r="C387" s="409">
        <v>80</v>
      </c>
      <c r="D387" s="404" t="s">
        <v>509</v>
      </c>
      <c r="E387" s="404" t="s">
        <v>510</v>
      </c>
    </row>
    <row r="388" spans="1:5">
      <c r="A388" s="408" t="s">
        <v>511</v>
      </c>
      <c r="B388" s="407" t="s">
        <v>512</v>
      </c>
      <c r="C388" s="477">
        <v>48</v>
      </c>
      <c r="D388" s="404" t="s">
        <v>513</v>
      </c>
      <c r="E388" s="404" t="s">
        <v>514</v>
      </c>
    </row>
    <row r="389" spans="1:5">
      <c r="A389" s="408" t="s">
        <v>511</v>
      </c>
      <c r="B389" s="407" t="s">
        <v>512</v>
      </c>
      <c r="C389" s="477">
        <v>48</v>
      </c>
      <c r="D389" s="404" t="s">
        <v>515</v>
      </c>
      <c r="E389" s="404" t="s">
        <v>516</v>
      </c>
    </row>
    <row r="390" spans="1:5">
      <c r="A390" s="408" t="s">
        <v>511</v>
      </c>
      <c r="B390" s="407" t="s">
        <v>512</v>
      </c>
      <c r="C390" s="477">
        <v>48</v>
      </c>
      <c r="D390" s="404" t="s">
        <v>517</v>
      </c>
      <c r="E390" s="404" t="s">
        <v>518</v>
      </c>
    </row>
    <row r="391" spans="1:5">
      <c r="A391" s="410" t="s">
        <v>519</v>
      </c>
      <c r="B391" s="406" t="s">
        <v>512</v>
      </c>
      <c r="C391" s="411">
        <v>120</v>
      </c>
      <c r="D391" s="404" t="s">
        <v>520</v>
      </c>
      <c r="E391" s="404" t="s">
        <v>521</v>
      </c>
    </row>
    <row r="392" spans="1:5">
      <c r="A392" s="410" t="s">
        <v>519</v>
      </c>
      <c r="B392" s="406" t="s">
        <v>512</v>
      </c>
      <c r="C392" s="411">
        <v>120</v>
      </c>
      <c r="D392" s="404" t="s">
        <v>522</v>
      </c>
      <c r="E392" s="404" t="s">
        <v>523</v>
      </c>
    </row>
    <row r="393" spans="1:5" ht="15.75" thickBot="1">
      <c r="A393" s="473" t="s">
        <v>519</v>
      </c>
      <c r="B393" s="474" t="s">
        <v>512</v>
      </c>
      <c r="C393" s="478">
        <v>120</v>
      </c>
      <c r="D393" s="475" t="s">
        <v>524</v>
      </c>
      <c r="E393" s="475" t="s">
        <v>525</v>
      </c>
    </row>
    <row r="395" spans="1:5" ht="15.75" thickBot="1"/>
    <row r="396" spans="1:5" ht="18.75" thickBot="1">
      <c r="A396" s="315"/>
      <c r="B396" s="487" t="s">
        <v>369</v>
      </c>
      <c r="C396" s="487"/>
      <c r="D396" s="487"/>
    </row>
    <row r="397" spans="1:5" ht="15.75" thickBot="1">
      <c r="A397" s="388" t="s">
        <v>148</v>
      </c>
      <c r="B397" s="316" t="s">
        <v>131</v>
      </c>
      <c r="C397" s="389" t="s">
        <v>134</v>
      </c>
      <c r="D397" s="317" t="s">
        <v>137</v>
      </c>
    </row>
    <row r="398" spans="1:5">
      <c r="A398" s="318" t="s">
        <v>371</v>
      </c>
      <c r="B398" s="413">
        <v>102.57740873449001</v>
      </c>
      <c r="C398" s="414">
        <v>102.502100327436</v>
      </c>
      <c r="D398" s="415">
        <v>102.590748506434</v>
      </c>
    </row>
    <row r="399" spans="1:5">
      <c r="A399" s="320" t="s">
        <v>370</v>
      </c>
      <c r="B399" s="416">
        <v>0.113441246835624</v>
      </c>
      <c r="C399" s="417">
        <v>8.4417050375657901E-2</v>
      </c>
      <c r="D399" s="418">
        <v>-0.34359849025221401</v>
      </c>
    </row>
    <row r="400" spans="1:5">
      <c r="A400" s="320" t="s">
        <v>373</v>
      </c>
      <c r="B400" s="416">
        <v>102.773135465734</v>
      </c>
      <c r="C400" s="417">
        <v>102.41896236644099</v>
      </c>
      <c r="D400" s="418">
        <v>102.45117995318201</v>
      </c>
    </row>
    <row r="401" spans="1:4">
      <c r="A401" s="320" t="s">
        <v>372</v>
      </c>
      <c r="B401" s="416">
        <v>0.401040862588321</v>
      </c>
      <c r="C401" s="417">
        <v>0.23026736343608201</v>
      </c>
      <c r="D401" s="418">
        <v>-0.59919122036765604</v>
      </c>
    </row>
    <row r="402" spans="1:4" ht="15.75" thickBot="1">
      <c r="A402" s="321" t="s">
        <v>374</v>
      </c>
      <c r="B402" s="419">
        <v>101.859305437873</v>
      </c>
      <c r="C402" s="420">
        <v>99.804210887235797</v>
      </c>
      <c r="D402" s="421">
        <v>100.407145780676</v>
      </c>
    </row>
    <row r="404" spans="1:4">
      <c r="A404" s="390" t="s">
        <v>530</v>
      </c>
    </row>
    <row r="405" spans="1:4">
      <c r="A405" s="390" t="s">
        <v>255</v>
      </c>
      <c r="B405" s="140" t="s">
        <v>529</v>
      </c>
    </row>
    <row r="406" spans="1:4">
      <c r="A406" s="390" t="s">
        <v>142</v>
      </c>
      <c r="B406" s="480">
        <v>1034631750</v>
      </c>
      <c r="C406" s="479" t="s">
        <v>572</v>
      </c>
    </row>
    <row r="407" spans="1:4">
      <c r="A407" s="390" t="s">
        <v>143</v>
      </c>
      <c r="B407" s="480">
        <v>1034632233</v>
      </c>
      <c r="C407" s="479" t="s">
        <v>573</v>
      </c>
    </row>
    <row r="408" spans="1:4">
      <c r="A408" s="390" t="s">
        <v>144</v>
      </c>
      <c r="B408" s="480">
        <v>1034632574</v>
      </c>
      <c r="C408" s="479" t="s">
        <v>574</v>
      </c>
    </row>
    <row r="409" spans="1:4">
      <c r="A409" s="390" t="s">
        <v>526</v>
      </c>
      <c r="B409" s="480">
        <v>1034632870</v>
      </c>
      <c r="C409" s="479" t="s">
        <v>575</v>
      </c>
    </row>
    <row r="410" spans="1:4">
      <c r="A410" s="390" t="s">
        <v>527</v>
      </c>
      <c r="B410" s="480">
        <v>1034633194</v>
      </c>
      <c r="C410" s="479" t="s">
        <v>576</v>
      </c>
    </row>
    <row r="411" spans="1:4">
      <c r="A411" s="390" t="s">
        <v>528</v>
      </c>
      <c r="B411" s="480">
        <v>1034633434</v>
      </c>
      <c r="C411" s="479" t="s">
        <v>577</v>
      </c>
    </row>
    <row r="415" spans="1:4" ht="15.75">
      <c r="A415" s="520" t="s">
        <v>579</v>
      </c>
    </row>
    <row r="416" spans="1:4" ht="15.75">
      <c r="A416" s="520"/>
    </row>
    <row r="417" spans="1:1" ht="15.75">
      <c r="A417" s="520" t="s">
        <v>131</v>
      </c>
    </row>
    <row r="418" spans="1:1" ht="15.75">
      <c r="A418" s="520" t="s">
        <v>580</v>
      </c>
    </row>
    <row r="419" spans="1:1" ht="15.75">
      <c r="A419" s="520" t="s">
        <v>581</v>
      </c>
    </row>
    <row r="420" spans="1:1" ht="15.75">
      <c r="A420" s="520"/>
    </row>
    <row r="421" spans="1:1" ht="15.75">
      <c r="A421" s="520" t="s">
        <v>582</v>
      </c>
    </row>
    <row r="422" spans="1:1" ht="15.75">
      <c r="A422" s="520" t="s">
        <v>583</v>
      </c>
    </row>
    <row r="423" spans="1:1" ht="15.75">
      <c r="A423" s="520" t="s">
        <v>584</v>
      </c>
    </row>
    <row r="424" spans="1:1" ht="15.75">
      <c r="A424" s="520"/>
    </row>
    <row r="425" spans="1:1" ht="15.75">
      <c r="A425" s="520" t="s">
        <v>137</v>
      </c>
    </row>
    <row r="426" spans="1:1" ht="15.75">
      <c r="A426" s="520" t="s">
        <v>585</v>
      </c>
    </row>
    <row r="427" spans="1:1" ht="15.75">
      <c r="A427" s="520" t="s">
        <v>586</v>
      </c>
    </row>
    <row r="428" spans="1:1" ht="15.75">
      <c r="A428" s="520"/>
    </row>
    <row r="429" spans="1:1" ht="15.75">
      <c r="A429" s="520" t="s">
        <v>587</v>
      </c>
    </row>
    <row r="430" spans="1:1" ht="15.75">
      <c r="A430" s="520" t="s">
        <v>131</v>
      </c>
    </row>
    <row r="431" spans="1:1" ht="15.75">
      <c r="A431" s="520" t="s">
        <v>588</v>
      </c>
    </row>
    <row r="432" spans="1:1" ht="15.75">
      <c r="A432" s="520" t="s">
        <v>589</v>
      </c>
    </row>
    <row r="433" spans="1:1" ht="15.75">
      <c r="A433" s="520"/>
    </row>
    <row r="434" spans="1:1" ht="15.75">
      <c r="A434" s="520" t="s">
        <v>134</v>
      </c>
    </row>
    <row r="435" spans="1:1" ht="15.75">
      <c r="A435" s="520" t="s">
        <v>590</v>
      </c>
    </row>
    <row r="436" spans="1:1" ht="15.75">
      <c r="A436" s="520" t="s">
        <v>591</v>
      </c>
    </row>
    <row r="437" spans="1:1" ht="15.75">
      <c r="A437" s="520"/>
    </row>
    <row r="438" spans="1:1" ht="15.75">
      <c r="A438" s="520" t="s">
        <v>137</v>
      </c>
    </row>
    <row r="439" spans="1:1" ht="15.75">
      <c r="A439" s="520" t="s">
        <v>592</v>
      </c>
    </row>
    <row r="440" spans="1:1" ht="15.75">
      <c r="A440" s="520" t="s">
        <v>593</v>
      </c>
    </row>
  </sheetData>
  <mergeCells count="86">
    <mergeCell ref="B317:C317"/>
    <mergeCell ref="A327:C327"/>
    <mergeCell ref="E327:F327"/>
    <mergeCell ref="D285:I285"/>
    <mergeCell ref="M285:R285"/>
    <mergeCell ref="B287:B292"/>
    <mergeCell ref="K287:K292"/>
    <mergeCell ref="B309:E309"/>
    <mergeCell ref="B218:E218"/>
    <mergeCell ref="D239:I239"/>
    <mergeCell ref="D276:I276"/>
    <mergeCell ref="M276:R276"/>
    <mergeCell ref="B278:B283"/>
    <mergeCell ref="K278:K283"/>
    <mergeCell ref="K269:K274"/>
    <mergeCell ref="A203:A208"/>
    <mergeCell ref="E203:E205"/>
    <mergeCell ref="E206:E208"/>
    <mergeCell ref="A209:A214"/>
    <mergeCell ref="E209:E211"/>
    <mergeCell ref="E212:E214"/>
    <mergeCell ref="A158:A160"/>
    <mergeCell ref="A164:A166"/>
    <mergeCell ref="C170:F170"/>
    <mergeCell ref="G170:J170"/>
    <mergeCell ref="C184:F184"/>
    <mergeCell ref="G184:J184"/>
    <mergeCell ref="B87:C87"/>
    <mergeCell ref="D87:E87"/>
    <mergeCell ref="F87:G87"/>
    <mergeCell ref="O87:P87"/>
    <mergeCell ref="C28:D28"/>
    <mergeCell ref="A78:B78"/>
    <mergeCell ref="C78:D78"/>
    <mergeCell ref="B86:C86"/>
    <mergeCell ref="D86:E86"/>
    <mergeCell ref="A22:B22"/>
    <mergeCell ref="A23:B23"/>
    <mergeCell ref="A24:B24"/>
    <mergeCell ref="A25:B25"/>
    <mergeCell ref="A28:B28"/>
    <mergeCell ref="A18:B18"/>
    <mergeCell ref="A19:B19"/>
    <mergeCell ref="C19:C21"/>
    <mergeCell ref="A20:B20"/>
    <mergeCell ref="A21:B21"/>
    <mergeCell ref="A4:B4"/>
    <mergeCell ref="A5:B5"/>
    <mergeCell ref="C5:C7"/>
    <mergeCell ref="A6:B6"/>
    <mergeCell ref="A7:B7"/>
    <mergeCell ref="A8:B8"/>
    <mergeCell ref="C8:C10"/>
    <mergeCell ref="A9:B9"/>
    <mergeCell ref="A10:B10"/>
    <mergeCell ref="A11:B11"/>
    <mergeCell ref="A12:B12"/>
    <mergeCell ref="C12:C13"/>
    <mergeCell ref="A13:B13"/>
    <mergeCell ref="A14:B14"/>
    <mergeCell ref="A15:B15"/>
    <mergeCell ref="C15:C17"/>
    <mergeCell ref="A16:B16"/>
    <mergeCell ref="A17:B17"/>
    <mergeCell ref="H332:I332"/>
    <mergeCell ref="B396:D396"/>
    <mergeCell ref="M239:R239"/>
    <mergeCell ref="K241:K246"/>
    <mergeCell ref="M249:R249"/>
    <mergeCell ref="K251:K256"/>
    <mergeCell ref="B241:B246"/>
    <mergeCell ref="D249:I249"/>
    <mergeCell ref="B251:B256"/>
    <mergeCell ref="D258:I258"/>
    <mergeCell ref="M258:R258"/>
    <mergeCell ref="B260:B265"/>
    <mergeCell ref="K260:K265"/>
    <mergeCell ref="D267:I267"/>
    <mergeCell ref="M267:R267"/>
    <mergeCell ref="B269:B274"/>
    <mergeCell ref="H203:H208"/>
    <mergeCell ref="L203:L205"/>
    <mergeCell ref="L206:L208"/>
    <mergeCell ref="H209:H214"/>
    <mergeCell ref="L209:L211"/>
    <mergeCell ref="L212:L214"/>
  </mergeCells>
  <pageMargins left="0.7" right="0.7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4"/>
  <sheetViews>
    <sheetView topLeftCell="A349" zoomScaleNormal="100" zoomScalePageLayoutView="60" workbookViewId="0">
      <selection activeCell="D378" sqref="A372:D378"/>
    </sheetView>
  </sheetViews>
  <sheetFormatPr defaultRowHeight="15"/>
  <cols>
    <col min="1" max="1" width="29.42578125" style="1"/>
    <col min="2" max="2" width="11.5703125" style="1"/>
    <col min="3" max="3" width="16.140625" style="2" bestFit="1" customWidth="1"/>
    <col min="4" max="4" width="17"/>
    <col min="5" max="5" width="21"/>
    <col min="6" max="6" width="8.5703125"/>
    <col min="7" max="7" width="9.28515625"/>
    <col min="8" max="8" width="21.7109375"/>
    <col min="9" max="9" width="14"/>
    <col min="10" max="10" width="8.5703125"/>
    <col min="11" max="11" width="7.140625"/>
    <col min="12" max="12" width="11.5703125"/>
    <col min="13" max="13" width="22.28515625"/>
    <col min="14" max="14" width="8.5703125"/>
    <col min="15" max="15" width="7.140625"/>
    <col min="16" max="16" width="11.85546875"/>
    <col min="17" max="17" width="22.28515625"/>
    <col min="18" max="1025" width="8.5703125"/>
  </cols>
  <sheetData>
    <row r="1" spans="1:13" ht="28.5">
      <c r="A1" s="3" t="s">
        <v>274</v>
      </c>
      <c r="B1" s="3" t="s">
        <v>275</v>
      </c>
    </row>
    <row r="2" spans="1:13" s="42" customFormat="1" ht="21">
      <c r="A2" s="253" t="s">
        <v>276</v>
      </c>
      <c r="C2" s="254"/>
    </row>
    <row r="3" spans="1:13" s="42" customFormat="1">
      <c r="C3" s="254"/>
    </row>
    <row r="4" spans="1:13">
      <c r="A4" s="1" t="s">
        <v>0</v>
      </c>
    </row>
    <row r="5" spans="1:13">
      <c r="A5" s="511" t="s">
        <v>1</v>
      </c>
      <c r="B5" s="511"/>
      <c r="C5" s="189" t="s">
        <v>277</v>
      </c>
      <c r="D5" s="189" t="s">
        <v>2</v>
      </c>
      <c r="E5" s="255" t="s">
        <v>3</v>
      </c>
    </row>
    <row r="6" spans="1:13">
      <c r="A6" s="512" t="s">
        <v>278</v>
      </c>
      <c r="B6" s="512"/>
      <c r="C6" s="256"/>
      <c r="D6" s="256" t="s">
        <v>5</v>
      </c>
      <c r="E6" s="257" t="s">
        <v>279</v>
      </c>
      <c r="I6" s="15"/>
      <c r="J6" s="15"/>
      <c r="K6" s="15"/>
      <c r="L6" s="15"/>
    </row>
    <row r="7" spans="1:13">
      <c r="A7" s="513" t="s">
        <v>280</v>
      </c>
      <c r="B7" s="513"/>
      <c r="C7" s="258"/>
      <c r="D7" s="258" t="s">
        <v>281</v>
      </c>
      <c r="E7" s="257" t="s">
        <v>282</v>
      </c>
      <c r="I7" s="15"/>
      <c r="J7" s="17"/>
      <c r="K7" s="17"/>
      <c r="L7" s="15"/>
    </row>
    <row r="8" spans="1:13">
      <c r="A8" s="513" t="s">
        <v>283</v>
      </c>
      <c r="B8" s="513"/>
      <c r="C8" s="258"/>
      <c r="D8" s="258" t="s">
        <v>284</v>
      </c>
      <c r="E8" s="257" t="s">
        <v>285</v>
      </c>
      <c r="I8" s="15"/>
      <c r="J8" s="17"/>
      <c r="K8" s="17"/>
      <c r="L8" s="15"/>
    </row>
    <row r="9" spans="1:13">
      <c r="A9" s="514" t="s">
        <v>286</v>
      </c>
      <c r="B9" s="514"/>
      <c r="C9" s="258"/>
      <c r="D9" s="258" t="s">
        <v>12</v>
      </c>
      <c r="E9" s="257" t="s">
        <v>287</v>
      </c>
      <c r="I9" s="15"/>
      <c r="J9" s="17"/>
      <c r="K9" s="17"/>
      <c r="L9" s="15"/>
    </row>
    <row r="10" spans="1:13">
      <c r="A10" s="514" t="s">
        <v>286</v>
      </c>
      <c r="B10" s="514"/>
      <c r="C10" s="258"/>
      <c r="D10" s="258" t="s">
        <v>12</v>
      </c>
      <c r="E10" s="257" t="s">
        <v>288</v>
      </c>
      <c r="I10" s="15"/>
      <c r="J10" s="15"/>
      <c r="K10" s="15"/>
      <c r="L10" s="15"/>
    </row>
    <row r="11" spans="1:13">
      <c r="A11" s="514" t="s">
        <v>18</v>
      </c>
      <c r="B11" s="514"/>
      <c r="C11" s="258"/>
      <c r="D11" s="258" t="s">
        <v>12</v>
      </c>
      <c r="E11" s="257" t="s">
        <v>289</v>
      </c>
      <c r="I11" s="15"/>
      <c r="J11" s="15"/>
      <c r="K11" s="15"/>
      <c r="L11" s="15"/>
    </row>
    <row r="12" spans="1:13">
      <c r="A12" s="515" t="s">
        <v>21</v>
      </c>
      <c r="B12" s="515"/>
      <c r="C12" s="258"/>
      <c r="D12" s="41" t="s">
        <v>22</v>
      </c>
      <c r="E12" s="259" t="s">
        <v>290</v>
      </c>
      <c r="H12" s="15"/>
      <c r="I12" s="15"/>
      <c r="J12" s="15"/>
      <c r="K12" s="15"/>
      <c r="L12" s="16"/>
      <c r="M12" s="16"/>
    </row>
    <row r="13" spans="1:13">
      <c r="A13" s="515"/>
      <c r="B13" s="515"/>
      <c r="C13" s="258"/>
      <c r="D13" s="41" t="s">
        <v>22</v>
      </c>
      <c r="E13" s="61" t="s">
        <v>291</v>
      </c>
      <c r="H13" s="15"/>
      <c r="I13" s="15"/>
      <c r="J13" s="15"/>
      <c r="K13" s="15"/>
      <c r="L13" s="16"/>
      <c r="M13" s="16"/>
    </row>
    <row r="14" spans="1:13">
      <c r="A14" s="514" t="s">
        <v>25</v>
      </c>
      <c r="B14" s="514"/>
      <c r="C14" s="258"/>
      <c r="D14" s="41" t="s">
        <v>26</v>
      </c>
      <c r="E14" s="61" t="s">
        <v>292</v>
      </c>
      <c r="H14" s="17"/>
      <c r="I14" s="15"/>
      <c r="J14" s="15"/>
      <c r="K14" s="15"/>
      <c r="L14" s="16"/>
      <c r="M14" s="16"/>
    </row>
    <row r="15" spans="1:13">
      <c r="A15" s="514" t="s">
        <v>293</v>
      </c>
      <c r="B15" s="514"/>
      <c r="C15" s="258"/>
      <c r="D15" s="41" t="s">
        <v>29</v>
      </c>
      <c r="E15" s="61" t="s">
        <v>294</v>
      </c>
      <c r="H15" s="17"/>
      <c r="I15" s="15"/>
      <c r="J15" s="15"/>
      <c r="K15" s="15"/>
      <c r="L15" s="15"/>
      <c r="M15" s="15"/>
    </row>
    <row r="16" spans="1:13">
      <c r="A16" s="514" t="s">
        <v>295</v>
      </c>
      <c r="B16" s="514"/>
      <c r="C16" s="258"/>
      <c r="D16" s="41" t="s">
        <v>29</v>
      </c>
      <c r="E16" s="61" t="s">
        <v>296</v>
      </c>
      <c r="H16" s="17"/>
      <c r="I16" s="15"/>
      <c r="J16" s="15"/>
      <c r="K16" s="15"/>
      <c r="L16" s="15"/>
      <c r="M16" s="15"/>
    </row>
    <row r="17" spans="1:10">
      <c r="A17" s="514" t="s">
        <v>297</v>
      </c>
      <c r="B17" s="514"/>
      <c r="C17" s="258"/>
      <c r="D17" s="41" t="s">
        <v>29</v>
      </c>
      <c r="E17" s="61" t="s">
        <v>298</v>
      </c>
    </row>
    <row r="18" spans="1:10">
      <c r="A18" s="514" t="s">
        <v>18</v>
      </c>
      <c r="B18" s="514"/>
      <c r="C18" s="258"/>
      <c r="D18" s="41" t="s">
        <v>299</v>
      </c>
      <c r="E18" s="61" t="s">
        <v>300</v>
      </c>
    </row>
    <row r="19" spans="1:10">
      <c r="A19" s="513" t="s">
        <v>38</v>
      </c>
      <c r="B19" s="513"/>
      <c r="C19" s="260"/>
      <c r="D19" s="41" t="s">
        <v>39</v>
      </c>
      <c r="E19" s="61" t="s">
        <v>301</v>
      </c>
    </row>
    <row r="20" spans="1:10">
      <c r="A20" s="513" t="s">
        <v>41</v>
      </c>
      <c r="B20" s="513"/>
      <c r="C20" s="260"/>
      <c r="D20" s="41" t="s">
        <v>39</v>
      </c>
      <c r="E20" s="61" t="s">
        <v>302</v>
      </c>
    </row>
    <row r="21" spans="1:10">
      <c r="A21" s="516" t="s">
        <v>43</v>
      </c>
      <c r="B21" s="516"/>
      <c r="C21" s="261"/>
      <c r="D21" s="58" t="s">
        <v>39</v>
      </c>
      <c r="E21" s="62" t="s">
        <v>303</v>
      </c>
      <c r="I21" t="s">
        <v>304</v>
      </c>
    </row>
    <row r="23" spans="1:10">
      <c r="H23" s="21" t="s">
        <v>45</v>
      </c>
      <c r="I23" s="21" t="s">
        <v>46</v>
      </c>
      <c r="J23" s="21" t="s">
        <v>305</v>
      </c>
    </row>
    <row r="24" spans="1:10">
      <c r="A24" s="517" t="s">
        <v>48</v>
      </c>
      <c r="B24" s="517"/>
      <c r="E24" s="517" t="s">
        <v>49</v>
      </c>
      <c r="F24" s="517"/>
      <c r="H24" s="22" t="s">
        <v>50</v>
      </c>
      <c r="I24" s="22" t="s">
        <v>51</v>
      </c>
      <c r="J24" s="22">
        <v>7.5</v>
      </c>
    </row>
    <row r="25" spans="1:10">
      <c r="A25" s="23" t="s">
        <v>45</v>
      </c>
      <c r="B25" s="24" t="s">
        <v>52</v>
      </c>
      <c r="E25" s="23" t="s">
        <v>45</v>
      </c>
      <c r="F25" s="24" t="s">
        <v>52</v>
      </c>
      <c r="H25" s="25" t="s">
        <v>53</v>
      </c>
      <c r="I25" s="25" t="s">
        <v>54</v>
      </c>
      <c r="J25" s="25">
        <v>11.3</v>
      </c>
    </row>
    <row r="26" spans="1:10" ht="15.75">
      <c r="A26" s="26" t="s">
        <v>55</v>
      </c>
      <c r="B26" s="27" t="s">
        <v>56</v>
      </c>
      <c r="E26" s="28" t="s">
        <v>57</v>
      </c>
      <c r="F26" s="29" t="s">
        <v>58</v>
      </c>
      <c r="H26" s="25" t="s">
        <v>59</v>
      </c>
      <c r="I26" s="25" t="s">
        <v>60</v>
      </c>
      <c r="J26" s="25">
        <v>11.1</v>
      </c>
    </row>
    <row r="27" spans="1:10" ht="15.75">
      <c r="A27" s="28" t="s">
        <v>61</v>
      </c>
      <c r="B27" s="29" t="s">
        <v>62</v>
      </c>
      <c r="E27" s="28" t="s">
        <v>63</v>
      </c>
      <c r="F27" s="29" t="s">
        <v>64</v>
      </c>
      <c r="H27" s="30" t="s">
        <v>65</v>
      </c>
      <c r="I27" s="30" t="s">
        <v>66</v>
      </c>
      <c r="J27" s="30">
        <v>7.5</v>
      </c>
    </row>
    <row r="28" spans="1:10" ht="15.75">
      <c r="A28" s="28" t="s">
        <v>67</v>
      </c>
      <c r="B28" s="29" t="s">
        <v>68</v>
      </c>
      <c r="E28" s="28" t="s">
        <v>69</v>
      </c>
      <c r="F28" s="29" t="s">
        <v>70</v>
      </c>
      <c r="H28" s="22" t="s">
        <v>71</v>
      </c>
      <c r="I28" s="22" t="s">
        <v>72</v>
      </c>
      <c r="J28" s="22">
        <v>7.4</v>
      </c>
    </row>
    <row r="29" spans="1:10" ht="15.75">
      <c r="A29" s="28" t="s">
        <v>73</v>
      </c>
      <c r="B29" s="29" t="s">
        <v>74</v>
      </c>
      <c r="E29" s="28" t="s">
        <v>75</v>
      </c>
      <c r="F29" s="29" t="s">
        <v>76</v>
      </c>
      <c r="H29" s="25" t="s">
        <v>77</v>
      </c>
      <c r="I29" s="25" t="s">
        <v>78</v>
      </c>
      <c r="J29" s="25">
        <v>11.1</v>
      </c>
    </row>
    <row r="30" spans="1:10" ht="15.75">
      <c r="A30" s="28" t="s">
        <v>79</v>
      </c>
      <c r="B30" s="29" t="s">
        <v>80</v>
      </c>
      <c r="E30" s="28" t="s">
        <v>81</v>
      </c>
      <c r="F30" s="29" t="s">
        <v>82</v>
      </c>
      <c r="H30" s="25" t="s">
        <v>83</v>
      </c>
      <c r="I30" s="25" t="s">
        <v>84</v>
      </c>
      <c r="J30" s="25">
        <v>11.1</v>
      </c>
    </row>
    <row r="31" spans="1:10" ht="15.75">
      <c r="A31" s="31" t="s">
        <v>85</v>
      </c>
      <c r="B31" s="32" t="s">
        <v>86</v>
      </c>
      <c r="E31" s="31" t="s">
        <v>87</v>
      </c>
      <c r="F31" s="32" t="s">
        <v>88</v>
      </c>
      <c r="H31" s="30" t="s">
        <v>89</v>
      </c>
      <c r="I31" s="30" t="s">
        <v>72</v>
      </c>
      <c r="J31" s="30">
        <v>7.4</v>
      </c>
    </row>
    <row r="32" spans="1:10">
      <c r="H32" s="33" t="s">
        <v>90</v>
      </c>
      <c r="I32" s="33" t="s">
        <v>91</v>
      </c>
      <c r="J32" s="33"/>
    </row>
    <row r="33" spans="1:10" ht="18">
      <c r="A33" s="34" t="s">
        <v>92</v>
      </c>
      <c r="H33" s="25" t="s">
        <v>93</v>
      </c>
      <c r="I33" s="25" t="s">
        <v>94</v>
      </c>
      <c r="J33" s="25"/>
    </row>
    <row r="34" spans="1:10">
      <c r="H34" s="25" t="s">
        <v>95</v>
      </c>
      <c r="I34" s="25" t="s">
        <v>96</v>
      </c>
      <c r="J34" s="25"/>
    </row>
    <row r="35" spans="1:10">
      <c r="H35" s="30" t="s">
        <v>101</v>
      </c>
      <c r="I35" s="30" t="s">
        <v>102</v>
      </c>
      <c r="J35" s="30"/>
    </row>
    <row r="37" spans="1:10" ht="31.5">
      <c r="A37" s="262" t="s">
        <v>255</v>
      </c>
      <c r="B37" s="263" t="s">
        <v>306</v>
      </c>
      <c r="C37" s="264" t="s">
        <v>307</v>
      </c>
      <c r="D37" s="264" t="s">
        <v>3</v>
      </c>
      <c r="E37" s="264" t="s">
        <v>308</v>
      </c>
      <c r="F37" s="265" t="s">
        <v>3</v>
      </c>
      <c r="G37" s="266" t="s">
        <v>309</v>
      </c>
      <c r="H37" s="263" t="s">
        <v>310</v>
      </c>
    </row>
    <row r="38" spans="1:10" ht="15.75">
      <c r="A38" s="267" t="s">
        <v>311</v>
      </c>
      <c r="B38" s="268">
        <v>101612</v>
      </c>
      <c r="C38" s="35" t="s">
        <v>312</v>
      </c>
      <c r="D38" s="35" t="s">
        <v>103</v>
      </c>
      <c r="E38" s="35" t="s">
        <v>97</v>
      </c>
      <c r="F38" s="39" t="s">
        <v>104</v>
      </c>
      <c r="G38" s="35" t="s">
        <v>313</v>
      </c>
      <c r="H38" s="268">
        <v>180</v>
      </c>
    </row>
    <row r="39" spans="1:10" ht="15.75">
      <c r="A39" s="269" t="s">
        <v>314</v>
      </c>
      <c r="B39" s="268">
        <v>101406</v>
      </c>
      <c r="C39" s="35" t="s">
        <v>312</v>
      </c>
      <c r="D39" s="35" t="s">
        <v>315</v>
      </c>
      <c r="E39" s="35" t="s">
        <v>97</v>
      </c>
      <c r="F39" s="270">
        <v>12864</v>
      </c>
      <c r="G39" s="35" t="s">
        <v>313</v>
      </c>
      <c r="H39" s="268">
        <v>180</v>
      </c>
    </row>
    <row r="40" spans="1:10" ht="15.75">
      <c r="A40" s="267" t="s">
        <v>316</v>
      </c>
      <c r="B40" s="268">
        <v>101612</v>
      </c>
      <c r="C40" s="35" t="s">
        <v>312</v>
      </c>
      <c r="D40" s="35" t="s">
        <v>109</v>
      </c>
      <c r="E40" s="35" t="s">
        <v>97</v>
      </c>
      <c r="F40" s="39" t="s">
        <v>110</v>
      </c>
      <c r="G40" s="35" t="s">
        <v>313</v>
      </c>
      <c r="H40" s="268">
        <v>180</v>
      </c>
    </row>
    <row r="41" spans="1:10" ht="15.75">
      <c r="A41" s="269" t="s">
        <v>317</v>
      </c>
      <c r="B41" s="268">
        <v>101406</v>
      </c>
      <c r="C41" s="35" t="s">
        <v>312</v>
      </c>
      <c r="D41" s="35" t="s">
        <v>318</v>
      </c>
      <c r="E41" s="35" t="s">
        <v>97</v>
      </c>
      <c r="F41" s="270">
        <v>12860</v>
      </c>
      <c r="G41" s="35" t="s">
        <v>319</v>
      </c>
      <c r="H41" s="268">
        <v>0</v>
      </c>
    </row>
    <row r="42" spans="1:10" ht="15.75">
      <c r="A42" s="269" t="s">
        <v>320</v>
      </c>
      <c r="B42" s="268">
        <v>101406</v>
      </c>
      <c r="C42" s="35" t="s">
        <v>312</v>
      </c>
      <c r="D42" s="35" t="s">
        <v>321</v>
      </c>
      <c r="E42" s="35" t="s">
        <v>97</v>
      </c>
      <c r="F42" s="270">
        <v>12863</v>
      </c>
      <c r="G42" s="35" t="s">
        <v>313</v>
      </c>
      <c r="H42" s="268">
        <v>0</v>
      </c>
    </row>
    <row r="43" spans="1:10" ht="15.75">
      <c r="A43" s="269" t="s">
        <v>322</v>
      </c>
      <c r="B43" s="271">
        <v>101470</v>
      </c>
      <c r="C43" s="272" t="s">
        <v>312</v>
      </c>
      <c r="D43" s="273" t="s">
        <v>323</v>
      </c>
      <c r="E43" s="273" t="s">
        <v>97</v>
      </c>
      <c r="F43" s="274">
        <v>12898</v>
      </c>
      <c r="G43" s="272" t="s">
        <v>313</v>
      </c>
      <c r="H43" s="275">
        <v>0</v>
      </c>
    </row>
    <row r="44" spans="1:10" ht="15.75">
      <c r="A44" s="269" t="s">
        <v>324</v>
      </c>
      <c r="B44" s="268">
        <v>101406</v>
      </c>
      <c r="C44" s="35" t="s">
        <v>312</v>
      </c>
      <c r="D44" s="35" t="s">
        <v>325</v>
      </c>
      <c r="E44" s="35" t="s">
        <v>97</v>
      </c>
      <c r="F44" s="270">
        <v>12867</v>
      </c>
      <c r="G44" s="35" t="s">
        <v>313</v>
      </c>
      <c r="H44" s="268">
        <v>180</v>
      </c>
    </row>
    <row r="45" spans="1:10" ht="15.75">
      <c r="A45" s="269" t="s">
        <v>326</v>
      </c>
      <c r="B45" s="268">
        <v>101612</v>
      </c>
      <c r="C45" s="35" t="s">
        <v>312</v>
      </c>
      <c r="D45" s="35" t="s">
        <v>115</v>
      </c>
      <c r="E45" s="35" t="s">
        <v>97</v>
      </c>
      <c r="F45" s="39" t="s">
        <v>116</v>
      </c>
      <c r="G45" s="35" t="s">
        <v>313</v>
      </c>
      <c r="H45" s="268">
        <v>180</v>
      </c>
    </row>
    <row r="46" spans="1:10" ht="15.75">
      <c r="A46" s="269" t="s">
        <v>327</v>
      </c>
      <c r="B46" s="268">
        <v>101612</v>
      </c>
      <c r="C46" s="35" t="s">
        <v>312</v>
      </c>
      <c r="D46" s="35" t="s">
        <v>120</v>
      </c>
      <c r="E46" s="35" t="s">
        <v>97</v>
      </c>
      <c r="F46" s="39" t="s">
        <v>121</v>
      </c>
      <c r="G46" s="35" t="s">
        <v>313</v>
      </c>
      <c r="H46" s="268">
        <v>180</v>
      </c>
    </row>
    <row r="47" spans="1:10" ht="15.75">
      <c r="A47" s="269" t="s">
        <v>328</v>
      </c>
      <c r="B47" s="268">
        <v>101612</v>
      </c>
      <c r="C47" s="35" t="s">
        <v>312</v>
      </c>
      <c r="D47" s="35" t="s">
        <v>117</v>
      </c>
      <c r="E47" s="35" t="s">
        <v>97</v>
      </c>
      <c r="F47" s="39" t="s">
        <v>118</v>
      </c>
      <c r="G47" s="35" t="s">
        <v>313</v>
      </c>
      <c r="H47" s="268">
        <v>0</v>
      </c>
    </row>
    <row r="48" spans="1:10" ht="15.75">
      <c r="A48" s="269" t="s">
        <v>329</v>
      </c>
      <c r="B48" s="268">
        <v>101612</v>
      </c>
      <c r="C48" s="35" t="s">
        <v>312</v>
      </c>
      <c r="D48" s="35" t="s">
        <v>112</v>
      </c>
      <c r="E48" s="35" t="s">
        <v>97</v>
      </c>
      <c r="F48" s="39" t="s">
        <v>113</v>
      </c>
      <c r="G48" s="35" t="s">
        <v>313</v>
      </c>
      <c r="H48" s="268">
        <v>0</v>
      </c>
    </row>
    <row r="49" spans="1:14" ht="15.75">
      <c r="A49" s="269" t="s">
        <v>330</v>
      </c>
      <c r="B49" s="268">
        <v>101406</v>
      </c>
      <c r="C49" s="35" t="s">
        <v>312</v>
      </c>
      <c r="D49" s="35" t="s">
        <v>331</v>
      </c>
      <c r="E49" s="35" t="s">
        <v>97</v>
      </c>
      <c r="F49" s="270">
        <v>12868</v>
      </c>
      <c r="G49" s="35" t="s">
        <v>313</v>
      </c>
      <c r="H49" s="268">
        <v>0</v>
      </c>
    </row>
    <row r="50" spans="1:14">
      <c r="A50" s="43"/>
      <c r="B50" s="18"/>
      <c r="C50" s="44"/>
      <c r="D50" s="45"/>
    </row>
    <row r="51" spans="1:14">
      <c r="A51" s="43"/>
      <c r="B51" s="18"/>
      <c r="C51" s="44"/>
      <c r="D51" s="45"/>
    </row>
    <row r="53" spans="1:14" ht="15.75">
      <c r="A53" s="24" t="s">
        <v>122</v>
      </c>
      <c r="B53" s="23" t="s">
        <v>123</v>
      </c>
      <c r="C53" s="59" t="s">
        <v>124</v>
      </c>
      <c r="D53" s="43"/>
      <c r="I53" s="47"/>
      <c r="J53" s="47"/>
      <c r="K53" s="48"/>
      <c r="L53" s="49"/>
      <c r="M53" s="50"/>
      <c r="N53" s="50"/>
    </row>
    <row r="54" spans="1:14">
      <c r="A54" s="276" t="s">
        <v>105</v>
      </c>
      <c r="B54" s="51" t="s">
        <v>332</v>
      </c>
      <c r="C54" s="135">
        <v>33</v>
      </c>
      <c r="D54" s="52"/>
      <c r="I54" s="53"/>
      <c r="J54" s="53"/>
      <c r="K54" s="54"/>
      <c r="L54" s="55"/>
      <c r="M54" s="53"/>
      <c r="N54" s="53"/>
    </row>
    <row r="55" spans="1:14">
      <c r="A55" s="100" t="s">
        <v>106</v>
      </c>
      <c r="B55" s="41">
        <v>801</v>
      </c>
      <c r="C55" s="56">
        <v>31</v>
      </c>
      <c r="D55" s="52"/>
      <c r="I55" s="53"/>
      <c r="J55" s="53"/>
      <c r="K55" s="54"/>
      <c r="L55" s="55"/>
      <c r="M55" s="53"/>
      <c r="N55" s="53"/>
    </row>
    <row r="56" spans="1:14">
      <c r="A56" s="100" t="s">
        <v>107</v>
      </c>
      <c r="B56" s="41">
        <v>783</v>
      </c>
      <c r="C56" s="56">
        <v>16</v>
      </c>
      <c r="D56" s="52"/>
      <c r="I56" s="53"/>
      <c r="J56" s="53"/>
      <c r="K56" s="54"/>
      <c r="L56" s="55"/>
      <c r="M56" s="53"/>
      <c r="N56" s="53"/>
    </row>
    <row r="57" spans="1:14">
      <c r="A57" s="100" t="s">
        <v>108</v>
      </c>
      <c r="B57" s="41">
        <v>740</v>
      </c>
      <c r="C57" s="56">
        <v>79</v>
      </c>
      <c r="D57" s="52"/>
      <c r="I57" s="53"/>
      <c r="J57" s="53"/>
      <c r="K57" s="54"/>
      <c r="L57" s="55"/>
      <c r="M57" s="53"/>
      <c r="N57" s="53"/>
    </row>
    <row r="58" spans="1:14">
      <c r="A58" s="100" t="s">
        <v>111</v>
      </c>
      <c r="B58" s="41">
        <v>739</v>
      </c>
      <c r="C58" s="56">
        <v>94</v>
      </c>
      <c r="D58" s="52"/>
      <c r="I58" s="53"/>
      <c r="J58" s="53"/>
      <c r="K58" s="54"/>
      <c r="L58" s="55"/>
      <c r="M58" s="53"/>
      <c r="N58" s="53"/>
    </row>
    <row r="59" spans="1:14">
      <c r="A59" s="103" t="s">
        <v>114</v>
      </c>
      <c r="B59" s="204">
        <v>677</v>
      </c>
      <c r="C59" s="246">
        <v>26</v>
      </c>
      <c r="D59" s="52"/>
      <c r="I59" s="53"/>
      <c r="J59" s="53"/>
      <c r="K59" s="54"/>
      <c r="L59" s="55"/>
      <c r="M59" s="53"/>
      <c r="N59" s="53"/>
    </row>
    <row r="60" spans="1:14">
      <c r="I60" s="15"/>
      <c r="J60" s="15"/>
      <c r="K60" s="15"/>
      <c r="L60" s="15"/>
      <c r="M60" s="15"/>
      <c r="N60" s="15"/>
    </row>
    <row r="61" spans="1:14">
      <c r="A61" s="24" t="s">
        <v>125</v>
      </c>
      <c r="B61" s="23" t="s">
        <v>123</v>
      </c>
      <c r="C61" s="59" t="s">
        <v>124</v>
      </c>
      <c r="D61" s="43"/>
      <c r="G61" s="15"/>
      <c r="H61" s="53"/>
      <c r="I61" s="53"/>
      <c r="J61" s="53"/>
      <c r="K61" s="55"/>
      <c r="L61" s="53"/>
      <c r="M61" s="53"/>
    </row>
    <row r="62" spans="1:14">
      <c r="A62" s="277" t="s">
        <v>105</v>
      </c>
      <c r="B62" s="278">
        <v>1105</v>
      </c>
      <c r="C62" s="279">
        <v>76</v>
      </c>
      <c r="D62" s="52"/>
      <c r="G62" s="15"/>
      <c r="H62" s="53"/>
      <c r="I62" s="53"/>
      <c r="J62" s="54"/>
      <c r="K62" s="55"/>
      <c r="L62" s="53"/>
      <c r="M62" s="53"/>
    </row>
    <row r="63" spans="1:14">
      <c r="A63" s="280" t="s">
        <v>106</v>
      </c>
      <c r="B63" s="278">
        <v>970</v>
      </c>
      <c r="C63" s="279">
        <v>30</v>
      </c>
      <c r="D63" s="52"/>
      <c r="G63" s="15"/>
      <c r="H63" s="53"/>
      <c r="I63" s="53"/>
      <c r="J63" s="54"/>
      <c r="K63" s="55"/>
      <c r="L63" s="53"/>
      <c r="M63" s="53"/>
    </row>
    <row r="64" spans="1:14">
      <c r="A64" s="280" t="s">
        <v>107</v>
      </c>
      <c r="B64" s="278">
        <v>819</v>
      </c>
      <c r="C64" s="279">
        <v>129</v>
      </c>
      <c r="D64" s="52"/>
      <c r="G64" s="15"/>
      <c r="H64" s="53"/>
      <c r="I64" s="53"/>
      <c r="J64" s="54"/>
      <c r="K64" s="55"/>
      <c r="L64" s="53"/>
      <c r="M64" s="53"/>
    </row>
    <row r="65" spans="1:13">
      <c r="A65" s="280" t="s">
        <v>108</v>
      </c>
      <c r="B65" s="278">
        <v>1085</v>
      </c>
      <c r="C65" s="279">
        <v>37</v>
      </c>
      <c r="D65" s="52"/>
      <c r="G65" s="15"/>
      <c r="H65" s="53"/>
      <c r="I65" s="53"/>
      <c r="J65" s="54"/>
      <c r="K65" s="55"/>
      <c r="L65" s="53"/>
      <c r="M65" s="53"/>
    </row>
    <row r="66" spans="1:13">
      <c r="A66" s="280" t="s">
        <v>111</v>
      </c>
      <c r="B66" s="278">
        <v>1089</v>
      </c>
      <c r="C66" s="279">
        <v>127</v>
      </c>
      <c r="D66" s="52"/>
      <c r="G66" s="15"/>
      <c r="H66" s="53"/>
      <c r="I66" s="53"/>
      <c r="J66" s="54"/>
      <c r="K66" s="55"/>
      <c r="L66" s="53"/>
      <c r="M66" s="53"/>
    </row>
    <row r="67" spans="1:13">
      <c r="A67" s="281" t="s">
        <v>114</v>
      </c>
      <c r="B67" s="282">
        <v>929</v>
      </c>
      <c r="C67" s="283">
        <v>17</v>
      </c>
      <c r="D67" s="52"/>
      <c r="G67" s="15"/>
      <c r="H67" s="15"/>
      <c r="I67" s="15"/>
      <c r="J67" s="15"/>
      <c r="K67" s="15"/>
      <c r="L67" s="15"/>
      <c r="M67" s="15"/>
    </row>
    <row r="69" spans="1:13">
      <c r="A69" s="284" t="s">
        <v>333</v>
      </c>
      <c r="B69" s="23" t="s">
        <v>123</v>
      </c>
      <c r="C69" s="59" t="s">
        <v>124</v>
      </c>
      <c r="D69" s="24" t="s">
        <v>334</v>
      </c>
      <c r="E69" s="21" t="s">
        <v>335</v>
      </c>
    </row>
    <row r="70" spans="1:13">
      <c r="A70" s="276" t="s">
        <v>131</v>
      </c>
      <c r="B70" s="38">
        <v>112</v>
      </c>
      <c r="C70" s="197">
        <v>32</v>
      </c>
      <c r="D70" s="66" t="s">
        <v>336</v>
      </c>
      <c r="E70" s="285" t="s">
        <v>337</v>
      </c>
    </row>
    <row r="71" spans="1:13">
      <c r="A71" s="100" t="s">
        <v>134</v>
      </c>
      <c r="B71" s="41">
        <v>118</v>
      </c>
      <c r="C71" s="198">
        <v>20</v>
      </c>
      <c r="D71" s="41" t="s">
        <v>336</v>
      </c>
      <c r="E71" s="286" t="s">
        <v>338</v>
      </c>
    </row>
    <row r="72" spans="1:13">
      <c r="A72" s="43" t="s">
        <v>137</v>
      </c>
      <c r="B72" s="204">
        <v>101</v>
      </c>
      <c r="C72" s="205">
        <v>19</v>
      </c>
      <c r="D72" s="206" t="s">
        <v>336</v>
      </c>
      <c r="E72" s="287" t="s">
        <v>339</v>
      </c>
    </row>
    <row r="74" spans="1:13">
      <c r="A74" s="486" t="s">
        <v>127</v>
      </c>
      <c r="B74" s="486"/>
      <c r="C74" s="486" t="s">
        <v>128</v>
      </c>
      <c r="D74" s="486"/>
    </row>
    <row r="75" spans="1:13">
      <c r="A75" s="23" t="s">
        <v>129</v>
      </c>
      <c r="B75" s="24" t="s">
        <v>130</v>
      </c>
      <c r="C75" s="23" t="s">
        <v>129</v>
      </c>
      <c r="D75" s="24" t="s">
        <v>130</v>
      </c>
    </row>
    <row r="76" spans="1:13">
      <c r="A76" s="63" t="s">
        <v>131</v>
      </c>
      <c r="B76" s="38" t="s">
        <v>132</v>
      </c>
      <c r="C76" s="63" t="s">
        <v>131</v>
      </c>
      <c r="D76" s="38" t="s">
        <v>133</v>
      </c>
    </row>
    <row r="77" spans="1:13">
      <c r="A77" s="40" t="s">
        <v>134</v>
      </c>
      <c r="B77" s="41" t="s">
        <v>135</v>
      </c>
      <c r="C77" s="40" t="s">
        <v>134</v>
      </c>
      <c r="D77" s="41" t="s">
        <v>136</v>
      </c>
      <c r="F77" t="s">
        <v>340</v>
      </c>
    </row>
    <row r="78" spans="1:13">
      <c r="A78" s="57" t="s">
        <v>137</v>
      </c>
      <c r="B78" s="58" t="s">
        <v>132</v>
      </c>
      <c r="C78" s="57" t="s">
        <v>137</v>
      </c>
      <c r="D78" s="58" t="s">
        <v>138</v>
      </c>
    </row>
    <row r="80" spans="1:13">
      <c r="B80" s="486" t="s">
        <v>48</v>
      </c>
      <c r="C80" s="486"/>
      <c r="D80" s="486" t="s">
        <v>49</v>
      </c>
      <c r="E80" s="486"/>
    </row>
    <row r="81" spans="1:17">
      <c r="A81" s="23" t="s">
        <v>139</v>
      </c>
      <c r="B81" s="24" t="s">
        <v>140</v>
      </c>
      <c r="C81" s="24" t="s">
        <v>141</v>
      </c>
      <c r="D81" s="24" t="s">
        <v>140</v>
      </c>
      <c r="E81" s="24" t="s">
        <v>141</v>
      </c>
    </row>
    <row r="82" spans="1:17">
      <c r="A82" s="37" t="s">
        <v>142</v>
      </c>
      <c r="B82" s="65"/>
      <c r="C82" s="65"/>
      <c r="D82" s="66"/>
      <c r="E82" s="66"/>
    </row>
    <row r="83" spans="1:17">
      <c r="A83" s="40" t="s">
        <v>143</v>
      </c>
      <c r="B83" s="41"/>
      <c r="C83" s="41"/>
      <c r="D83" s="41"/>
      <c r="E83" s="41"/>
    </row>
    <row r="84" spans="1:17">
      <c r="A84" s="57" t="s">
        <v>144</v>
      </c>
      <c r="B84" s="58"/>
      <c r="C84" s="58"/>
      <c r="D84" s="58"/>
      <c r="E84" s="58"/>
    </row>
    <row r="87" spans="1:17">
      <c r="A87" s="67">
        <v>40716</v>
      </c>
      <c r="B87" s="506"/>
      <c r="C87" s="506"/>
      <c r="D87" s="507"/>
      <c r="E87" s="507"/>
    </row>
    <row r="88" spans="1:17">
      <c r="A88" s="43"/>
      <c r="B88" s="504" t="s">
        <v>145</v>
      </c>
      <c r="C88" s="504"/>
      <c r="D88" s="505" t="s">
        <v>146</v>
      </c>
      <c r="E88" s="505"/>
      <c r="F88" s="518" t="s">
        <v>147</v>
      </c>
      <c r="G88" s="518"/>
      <c r="N88" s="15"/>
      <c r="O88" s="506"/>
      <c r="P88" s="506"/>
      <c r="Q88" s="15"/>
    </row>
    <row r="89" spans="1:17">
      <c r="A89" s="24" t="s">
        <v>148</v>
      </c>
      <c r="B89" s="36" t="s">
        <v>149</v>
      </c>
      <c r="C89" s="59" t="s">
        <v>150</v>
      </c>
      <c r="D89" s="24" t="s">
        <v>149</v>
      </c>
      <c r="E89" s="23" t="s">
        <v>150</v>
      </c>
      <c r="F89" s="59" t="s">
        <v>149</v>
      </c>
      <c r="G89" s="24" t="s">
        <v>151</v>
      </c>
      <c r="N89" s="15"/>
      <c r="O89" s="15"/>
      <c r="P89" s="15"/>
      <c r="Q89" s="15"/>
    </row>
    <row r="90" spans="1:17">
      <c r="A90" s="63" t="s">
        <v>55</v>
      </c>
      <c r="B90" s="68">
        <v>-51.307359600905301</v>
      </c>
      <c r="C90" s="69">
        <v>3.79478391281897</v>
      </c>
      <c r="D90" s="70">
        <v>-135.483119632117</v>
      </c>
      <c r="E90" s="71">
        <v>8.9304995763479003</v>
      </c>
      <c r="F90" s="288">
        <f t="shared" ref="F90:F101" si="0">B90-D90</f>
        <v>84.175760031211695</v>
      </c>
      <c r="G90" s="143">
        <f t="shared" ref="G90:G95" si="1">F90/840</f>
        <v>0.10020923813239488</v>
      </c>
      <c r="N90" s="15"/>
      <c r="O90" s="15"/>
      <c r="P90" s="15"/>
      <c r="Q90" s="15"/>
    </row>
    <row r="91" spans="1:17">
      <c r="A91" s="40" t="s">
        <v>61</v>
      </c>
      <c r="B91" s="74">
        <v>-830.74709095060803</v>
      </c>
      <c r="C91" s="75">
        <v>3.8769155537730202</v>
      </c>
      <c r="D91" s="76">
        <v>-415.56422609090799</v>
      </c>
      <c r="E91" s="77">
        <v>9.1031229626359398</v>
      </c>
      <c r="F91" s="289">
        <f t="shared" si="0"/>
        <v>-415.18286485970003</v>
      </c>
      <c r="G91" s="145">
        <f t="shared" si="1"/>
        <v>-0.49426531530916673</v>
      </c>
      <c r="N91" s="15"/>
      <c r="O91" s="15"/>
      <c r="P91" s="15"/>
      <c r="Q91" s="15"/>
    </row>
    <row r="92" spans="1:17">
      <c r="A92" s="40" t="s">
        <v>67</v>
      </c>
      <c r="B92" s="74">
        <v>-85.043578805401907</v>
      </c>
      <c r="C92" s="75">
        <v>5.0374490595766002</v>
      </c>
      <c r="D92" s="76">
        <v>583.78993936628103</v>
      </c>
      <c r="E92" s="77">
        <v>11.105555894976099</v>
      </c>
      <c r="F92" s="289">
        <f t="shared" si="0"/>
        <v>-668.83351817168295</v>
      </c>
      <c r="G92" s="145">
        <f t="shared" si="1"/>
        <v>-0.79623037877581304</v>
      </c>
      <c r="N92" s="15"/>
      <c r="O92" s="43"/>
      <c r="P92" s="15"/>
      <c r="Q92" s="15"/>
    </row>
    <row r="93" spans="1:17">
      <c r="A93" s="40" t="s">
        <v>73</v>
      </c>
      <c r="B93" s="74">
        <v>-1298.2017882615301</v>
      </c>
      <c r="C93" s="75">
        <v>6.9380203750511003</v>
      </c>
      <c r="D93" s="76">
        <v>-479.14970818907</v>
      </c>
      <c r="E93" s="77">
        <v>38.574666629983597</v>
      </c>
      <c r="F93" s="289">
        <f t="shared" si="0"/>
        <v>-819.05208007246006</v>
      </c>
      <c r="G93" s="145">
        <f t="shared" si="1"/>
        <v>-0.97506200008626198</v>
      </c>
      <c r="N93" s="15"/>
      <c r="O93" s="80"/>
      <c r="P93" s="15"/>
      <c r="Q93" s="15"/>
    </row>
    <row r="94" spans="1:17">
      <c r="A94" s="40" t="s">
        <v>79</v>
      </c>
      <c r="B94" s="74">
        <v>-2808.0152822136902</v>
      </c>
      <c r="C94" s="75">
        <v>4.2320555369917798</v>
      </c>
      <c r="D94" s="76">
        <v>-2432.8741564154602</v>
      </c>
      <c r="E94" s="77">
        <v>46.294509997594403</v>
      </c>
      <c r="F94" s="289">
        <f t="shared" si="0"/>
        <v>-375.14112579822995</v>
      </c>
      <c r="G94" s="145">
        <f t="shared" si="1"/>
        <v>-0.44659657833122612</v>
      </c>
      <c r="N94" s="15"/>
      <c r="O94" s="80"/>
      <c r="P94" s="15"/>
      <c r="Q94" s="15"/>
    </row>
    <row r="95" spans="1:17">
      <c r="A95" s="57" t="s">
        <v>85</v>
      </c>
      <c r="B95" s="81">
        <v>1824.81712788343</v>
      </c>
      <c r="C95" s="82">
        <v>4.5406968216320598</v>
      </c>
      <c r="D95" s="83">
        <v>2220.7181635201</v>
      </c>
      <c r="E95" s="84">
        <v>34.623916543138897</v>
      </c>
      <c r="F95" s="290">
        <f t="shared" si="0"/>
        <v>-395.90103563667003</v>
      </c>
      <c r="G95" s="147">
        <f t="shared" si="1"/>
        <v>-0.47131075671032147</v>
      </c>
      <c r="N95" s="15"/>
      <c r="O95" s="80"/>
      <c r="P95" s="15"/>
      <c r="Q95" s="15"/>
    </row>
    <row r="96" spans="1:17">
      <c r="A96" s="37" t="s">
        <v>57</v>
      </c>
      <c r="B96" s="87">
        <v>-397.05198745429499</v>
      </c>
      <c r="C96" s="88">
        <v>20.4328669637442</v>
      </c>
      <c r="D96" s="89">
        <v>384.29197029024402</v>
      </c>
      <c r="E96" s="90">
        <v>27.551777984543399</v>
      </c>
      <c r="F96" s="288">
        <f t="shared" si="0"/>
        <v>-781.34395774453901</v>
      </c>
      <c r="G96" s="291">
        <f t="shared" ref="G96:G101" si="2">F96/(4*840)</f>
        <v>-0.23254284456682708</v>
      </c>
      <c r="N96" s="15"/>
      <c r="O96" s="80"/>
      <c r="P96" s="15"/>
      <c r="Q96" s="15"/>
    </row>
    <row r="97" spans="1:17">
      <c r="A97" s="40" t="s">
        <v>63</v>
      </c>
      <c r="B97" s="74">
        <v>-257.16527540329798</v>
      </c>
      <c r="C97" s="75">
        <v>49.902886994662602</v>
      </c>
      <c r="D97" s="76">
        <v>-180.471568302251</v>
      </c>
      <c r="E97" s="77">
        <v>21.9436239015788</v>
      </c>
      <c r="F97" s="289">
        <f t="shared" si="0"/>
        <v>-76.693707101046982</v>
      </c>
      <c r="G97" s="145">
        <f t="shared" si="2"/>
        <v>-2.2825508065787793E-2</v>
      </c>
      <c r="N97" s="15"/>
      <c r="O97" s="80"/>
      <c r="P97" s="15"/>
      <c r="Q97" s="15"/>
    </row>
    <row r="98" spans="1:17">
      <c r="A98" s="40" t="s">
        <v>69</v>
      </c>
      <c r="B98" s="74">
        <v>1898.0853049904099</v>
      </c>
      <c r="C98" s="75">
        <v>64.937765698260094</v>
      </c>
      <c r="D98" s="76">
        <v>3874.8315504789398</v>
      </c>
      <c r="E98" s="77">
        <v>19.1237470724666</v>
      </c>
      <c r="F98" s="289">
        <f t="shared" si="0"/>
        <v>-1976.7462454885299</v>
      </c>
      <c r="G98" s="145">
        <f t="shared" si="2"/>
        <v>-0.58831733496682437</v>
      </c>
      <c r="N98" s="15"/>
      <c r="O98" s="80"/>
      <c r="P98" s="15"/>
      <c r="Q98" s="15"/>
    </row>
    <row r="99" spans="1:17">
      <c r="A99" s="40" t="s">
        <v>75</v>
      </c>
      <c r="B99" s="74">
        <v>-495.65541531890602</v>
      </c>
      <c r="C99" s="75">
        <v>54.382299837048201</v>
      </c>
      <c r="D99" s="76">
        <v>-2006.7140826433899</v>
      </c>
      <c r="E99" s="77">
        <v>105.157620725556</v>
      </c>
      <c r="F99" s="289">
        <f t="shared" si="0"/>
        <v>1511.0586673244838</v>
      </c>
      <c r="G99" s="145">
        <f t="shared" si="2"/>
        <v>0.44971984146562022</v>
      </c>
      <c r="N99" s="15"/>
      <c r="O99" s="15"/>
      <c r="P99" s="15"/>
      <c r="Q99" s="15"/>
    </row>
    <row r="100" spans="1:17">
      <c r="A100" s="40" t="s">
        <v>81</v>
      </c>
      <c r="B100" s="74">
        <v>-1115.42523635924</v>
      </c>
      <c r="C100" s="75">
        <v>300.79800955847202</v>
      </c>
      <c r="D100" s="76">
        <v>794.04529502987896</v>
      </c>
      <c r="E100" s="77">
        <v>120.998919863618</v>
      </c>
      <c r="F100" s="289">
        <f t="shared" si="0"/>
        <v>-1909.4705313891191</v>
      </c>
      <c r="G100" s="145">
        <f t="shared" si="2"/>
        <v>-0.56829480100866636</v>
      </c>
      <c r="N100" s="15"/>
      <c r="O100" s="15"/>
      <c r="P100" s="15"/>
      <c r="Q100" s="15"/>
    </row>
    <row r="101" spans="1:17">
      <c r="A101" s="57" t="s">
        <v>87</v>
      </c>
      <c r="B101" s="81">
        <v>317.737521928859</v>
      </c>
      <c r="C101" s="82">
        <v>456.70421221562498</v>
      </c>
      <c r="D101" s="83">
        <v>-1316.0759267807</v>
      </c>
      <c r="E101" s="84">
        <v>98.499792902566497</v>
      </c>
      <c r="F101" s="290">
        <f t="shared" si="0"/>
        <v>1633.813448709559</v>
      </c>
      <c r="G101" s="147">
        <f t="shared" si="2"/>
        <v>0.48625400259213064</v>
      </c>
      <c r="N101" s="15"/>
      <c r="O101" s="15"/>
      <c r="P101" s="15"/>
      <c r="Q101" s="15"/>
    </row>
    <row r="102" spans="1:17">
      <c r="A102" s="43"/>
      <c r="B102" s="92"/>
      <c r="C102" s="18"/>
      <c r="D102" s="15"/>
      <c r="E102" s="15"/>
      <c r="F102" s="15"/>
      <c r="G102" s="15"/>
      <c r="H102" s="15"/>
      <c r="N102" s="15"/>
      <c r="O102" s="15"/>
      <c r="P102" s="15"/>
      <c r="Q102" s="15"/>
    </row>
    <row r="103" spans="1:17">
      <c r="N103" s="15"/>
      <c r="O103" s="15"/>
      <c r="P103" s="15"/>
      <c r="Q103" s="15"/>
    </row>
    <row r="107" spans="1:17">
      <c r="A107" s="42" t="s">
        <v>341</v>
      </c>
    </row>
    <row r="108" spans="1:17">
      <c r="A108" s="64" t="s">
        <v>225</v>
      </c>
      <c r="B108" s="111" t="s">
        <v>67</v>
      </c>
      <c r="C108" s="211" t="s">
        <v>69</v>
      </c>
      <c r="D108" s="209" t="s">
        <v>85</v>
      </c>
      <c r="E108" s="212" t="s">
        <v>87</v>
      </c>
    </row>
    <row r="109" spans="1:17">
      <c r="A109" s="33" t="s">
        <v>342</v>
      </c>
      <c r="B109" s="292"/>
      <c r="C109" s="293"/>
      <c r="D109" s="294"/>
      <c r="E109" s="295"/>
    </row>
    <row r="110" spans="1:17">
      <c r="A110" s="25" t="s">
        <v>343</v>
      </c>
      <c r="B110" s="296"/>
      <c r="C110" s="107"/>
      <c r="D110" s="297"/>
      <c r="E110" s="298"/>
    </row>
    <row r="111" spans="1:17">
      <c r="A111" s="25" t="s">
        <v>344</v>
      </c>
      <c r="B111" s="296"/>
      <c r="C111" s="107"/>
      <c r="D111" s="297"/>
      <c r="E111" s="298"/>
    </row>
    <row r="112" spans="1:17" ht="30">
      <c r="A112" s="299" t="s">
        <v>345</v>
      </c>
      <c r="B112" s="300"/>
      <c r="C112" s="109"/>
      <c r="D112" s="301"/>
      <c r="E112" s="302"/>
    </row>
    <row r="116" spans="1:6">
      <c r="A116" s="110" t="s">
        <v>157</v>
      </c>
      <c r="B116" s="111" t="s">
        <v>158</v>
      </c>
      <c r="C116" s="64" t="s">
        <v>159</v>
      </c>
      <c r="D116" s="112" t="s">
        <v>160</v>
      </c>
      <c r="E116" s="113" t="s">
        <v>161</v>
      </c>
      <c r="F116" s="114" t="s">
        <v>151</v>
      </c>
    </row>
    <row r="117" spans="1:6">
      <c r="A117" s="115" t="s">
        <v>55</v>
      </c>
      <c r="B117" s="116">
        <v>-8198.7440000000006</v>
      </c>
      <c r="C117" s="117">
        <v>-137</v>
      </c>
      <c r="D117" s="118">
        <v>8088.7619999999997</v>
      </c>
      <c r="E117" s="72">
        <f t="shared" ref="E117:E128" si="3">D117-B117</f>
        <v>16287.506000000001</v>
      </c>
      <c r="F117" s="119">
        <f t="shared" ref="F117:F122" si="4">E117/840</f>
        <v>19.389888095238096</v>
      </c>
    </row>
    <row r="118" spans="1:6">
      <c r="A118" s="120" t="s">
        <v>61</v>
      </c>
      <c r="B118" s="121">
        <v>-7783.0415999999996</v>
      </c>
      <c r="C118" s="122">
        <v>371</v>
      </c>
      <c r="D118" s="123">
        <v>8238.5051999999996</v>
      </c>
      <c r="E118" s="78">
        <f t="shared" si="3"/>
        <v>16021.5468</v>
      </c>
      <c r="F118" s="124">
        <f t="shared" si="4"/>
        <v>19.073270000000001</v>
      </c>
    </row>
    <row r="119" spans="1:6">
      <c r="A119" s="120" t="s">
        <v>67</v>
      </c>
      <c r="B119" s="121">
        <v>-7605.1148000000003</v>
      </c>
      <c r="C119" s="122">
        <v>591</v>
      </c>
      <c r="D119" s="123">
        <v>8080.2766000000001</v>
      </c>
      <c r="E119" s="78">
        <f t="shared" si="3"/>
        <v>15685.3914</v>
      </c>
      <c r="F119" s="124">
        <f t="shared" si="4"/>
        <v>18.673085</v>
      </c>
    </row>
    <row r="120" spans="1:6">
      <c r="A120" s="120" t="s">
        <v>73</v>
      </c>
      <c r="B120" s="121">
        <v>-12246.054</v>
      </c>
      <c r="C120" s="122">
        <v>932</v>
      </c>
      <c r="D120" s="123">
        <v>14125.642</v>
      </c>
      <c r="E120" s="78">
        <f t="shared" si="3"/>
        <v>26371.696</v>
      </c>
      <c r="F120" s="124">
        <f t="shared" si="4"/>
        <v>31.394876190476189</v>
      </c>
    </row>
    <row r="121" spans="1:6">
      <c r="A121" s="120" t="s">
        <v>79</v>
      </c>
      <c r="B121" s="121">
        <v>-12278.237999999999</v>
      </c>
      <c r="C121" s="122">
        <v>831</v>
      </c>
      <c r="D121" s="123">
        <v>13963.998</v>
      </c>
      <c r="E121" s="78">
        <f t="shared" si="3"/>
        <v>26242.235999999997</v>
      </c>
      <c r="F121" s="124">
        <f t="shared" si="4"/>
        <v>31.240757142857138</v>
      </c>
    </row>
    <row r="122" spans="1:6">
      <c r="A122" s="120" t="s">
        <v>85</v>
      </c>
      <c r="B122" s="121">
        <v>-12807.87</v>
      </c>
      <c r="C122" s="122">
        <v>236</v>
      </c>
      <c r="D122" s="123">
        <v>13264.386</v>
      </c>
      <c r="E122" s="78">
        <f t="shared" si="3"/>
        <v>26072.256000000001</v>
      </c>
      <c r="F122" s="124">
        <f t="shared" si="4"/>
        <v>31.038400000000003</v>
      </c>
    </row>
    <row r="123" spans="1:6">
      <c r="A123" s="120" t="s">
        <v>57</v>
      </c>
      <c r="B123" s="121">
        <v>-9014.7883999999995</v>
      </c>
      <c r="C123" s="122">
        <v>349</v>
      </c>
      <c r="D123" s="123">
        <v>9714.9982</v>
      </c>
      <c r="E123" s="78">
        <f t="shared" si="3"/>
        <v>18729.786599999999</v>
      </c>
      <c r="F123" s="124">
        <f t="shared" ref="F123:F128" si="5">E123/(4*840)</f>
        <v>5.5743412499999998</v>
      </c>
    </row>
    <row r="124" spans="1:6">
      <c r="A124" s="120" t="s">
        <v>63</v>
      </c>
      <c r="B124" s="121">
        <v>-9570.8230000000094</v>
      </c>
      <c r="C124" s="122">
        <v>-203</v>
      </c>
      <c r="D124" s="123">
        <v>9176.5010000000002</v>
      </c>
      <c r="E124" s="78">
        <f t="shared" si="3"/>
        <v>18747.324000000008</v>
      </c>
      <c r="F124" s="124">
        <f t="shared" si="5"/>
        <v>5.5795607142857166</v>
      </c>
    </row>
    <row r="125" spans="1:6">
      <c r="A125" s="120" t="s">
        <v>69</v>
      </c>
      <c r="B125" s="121">
        <v>-5350.8822</v>
      </c>
      <c r="C125" s="122">
        <v>3810</v>
      </c>
      <c r="D125" s="123">
        <v>12971.91</v>
      </c>
      <c r="E125" s="78">
        <f t="shared" si="3"/>
        <v>18322.7922</v>
      </c>
      <c r="F125" s="124">
        <f t="shared" si="5"/>
        <v>5.453211964285714</v>
      </c>
    </row>
    <row r="126" spans="1:6">
      <c r="A126" s="120" t="s">
        <v>75</v>
      </c>
      <c r="B126" s="121">
        <v>-13391.244000000001</v>
      </c>
      <c r="C126" s="122">
        <v>-1850</v>
      </c>
      <c r="D126" s="123">
        <v>9687.5985999999994</v>
      </c>
      <c r="E126" s="78">
        <f t="shared" si="3"/>
        <v>23078.8426</v>
      </c>
      <c r="F126" s="124">
        <f t="shared" si="5"/>
        <v>6.8687031547619046</v>
      </c>
    </row>
    <row r="127" spans="1:6">
      <c r="A127" s="120" t="s">
        <v>81</v>
      </c>
      <c r="B127" s="121">
        <v>-10428.046</v>
      </c>
      <c r="C127" s="122">
        <v>994</v>
      </c>
      <c r="D127" s="123">
        <v>12389.126</v>
      </c>
      <c r="E127" s="78">
        <f t="shared" si="3"/>
        <v>22817.171999999999</v>
      </c>
      <c r="F127" s="124">
        <f t="shared" si="5"/>
        <v>6.7908249999999999</v>
      </c>
    </row>
    <row r="128" spans="1:6">
      <c r="A128" s="125" t="s">
        <v>87</v>
      </c>
      <c r="B128" s="126">
        <v>-12497.074000000001</v>
      </c>
      <c r="C128" s="127">
        <v>-925</v>
      </c>
      <c r="D128" s="128">
        <v>10640.88</v>
      </c>
      <c r="E128" s="85">
        <f t="shared" si="3"/>
        <v>23137.953999999998</v>
      </c>
      <c r="F128" s="129">
        <f t="shared" si="5"/>
        <v>6.8862958333333326</v>
      </c>
    </row>
    <row r="132" spans="1:6" ht="51">
      <c r="B132" s="188"/>
      <c r="C132" s="189" t="s">
        <v>200</v>
      </c>
      <c r="D132" s="190" t="s">
        <v>201</v>
      </c>
      <c r="E132" s="130" t="s">
        <v>202</v>
      </c>
      <c r="F132" s="131" t="s">
        <v>203</v>
      </c>
    </row>
    <row r="133" spans="1:6">
      <c r="A133" s="484" t="s">
        <v>48</v>
      </c>
      <c r="B133" s="63" t="s">
        <v>55</v>
      </c>
      <c r="C133" s="191">
        <v>0.54783874836052504</v>
      </c>
      <c r="D133" s="118">
        <v>-283.58465149263901</v>
      </c>
      <c r="E133" s="485">
        <f>AVERAGE(C133:C135)</f>
        <v>0.54321127029794036</v>
      </c>
      <c r="F133" s="73">
        <f>100*(C133-$E$133)/$E$133</f>
        <v>0.85187445762062342</v>
      </c>
    </row>
    <row r="134" spans="1:6">
      <c r="A134" s="484"/>
      <c r="B134" s="40" t="s">
        <v>61</v>
      </c>
      <c r="C134" s="192">
        <v>0.53912998001210699</v>
      </c>
      <c r="D134" s="123">
        <v>533.63543127023502</v>
      </c>
      <c r="E134" s="485"/>
      <c r="F134" s="79">
        <f>100*(C134-$E$133)/$E$133</f>
        <v>-0.75132651124761596</v>
      </c>
    </row>
    <row r="135" spans="1:6">
      <c r="A135" s="484"/>
      <c r="B135" s="57" t="s">
        <v>67</v>
      </c>
      <c r="C135" s="193">
        <v>0.54266508252118895</v>
      </c>
      <c r="D135" s="128">
        <v>973.57887249403905</v>
      </c>
      <c r="E135" s="485"/>
      <c r="F135" s="86">
        <f>100*(C135-$E$133)/$E$133</f>
        <v>-0.1005479463730279</v>
      </c>
    </row>
    <row r="136" spans="1:6">
      <c r="A136" s="484"/>
      <c r="B136" s="37" t="s">
        <v>73</v>
      </c>
      <c r="C136" s="194">
        <v>0.44043387731366901</v>
      </c>
      <c r="D136" s="195">
        <v>928.51230712024403</v>
      </c>
      <c r="E136" s="485">
        <f>AVERAGE(C136:C138)</f>
        <v>0.43801303640007933</v>
      </c>
      <c r="F136" s="73">
        <f>100*(C136-$E$136)/$E$136</f>
        <v>0.55268695504726884</v>
      </c>
    </row>
    <row r="137" spans="1:6">
      <c r="A137" s="484"/>
      <c r="B137" s="40" t="s">
        <v>79</v>
      </c>
      <c r="C137" s="192">
        <v>0.438605204711421</v>
      </c>
      <c r="D137" s="123">
        <v>854.70283384566005</v>
      </c>
      <c r="E137" s="485"/>
      <c r="F137" s="79">
        <f>100*(C137-$E$136)/$E$136</f>
        <v>0.13519422074935564</v>
      </c>
    </row>
    <row r="138" spans="1:6">
      <c r="A138" s="484"/>
      <c r="B138" s="57" t="s">
        <v>85</v>
      </c>
      <c r="C138" s="193">
        <v>0.43500002717514802</v>
      </c>
      <c r="D138" s="128">
        <v>296.16098109018799</v>
      </c>
      <c r="E138" s="485"/>
      <c r="F138" s="86">
        <f>100*(C138-$E$136)/$E$136</f>
        <v>-0.68788117579661179</v>
      </c>
    </row>
    <row r="139" spans="1:6">
      <c r="A139" s="484" t="s">
        <v>49</v>
      </c>
      <c r="B139" s="63" t="s">
        <v>57</v>
      </c>
      <c r="C139" s="191">
        <v>0.31328032849969401</v>
      </c>
      <c r="D139" s="118">
        <v>325.37747517730497</v>
      </c>
      <c r="E139" s="485">
        <f>AVERAGE(C139:C141)</f>
        <v>0.31100116801971933</v>
      </c>
      <c r="F139" s="73">
        <f>100*(C139-$E$139)/$E$139</f>
        <v>0.73284627658702584</v>
      </c>
    </row>
    <row r="140" spans="1:6">
      <c r="A140" s="484"/>
      <c r="B140" s="40" t="s">
        <v>63</v>
      </c>
      <c r="C140" s="192">
        <v>0.31438088411295101</v>
      </c>
      <c r="D140" s="123">
        <v>-222.72073158246801</v>
      </c>
      <c r="E140" s="485"/>
      <c r="F140" s="79">
        <f>100*(C140-$E$139)/$E$139</f>
        <v>1.0867213505183309</v>
      </c>
    </row>
    <row r="141" spans="1:6">
      <c r="A141" s="484"/>
      <c r="B141" s="57" t="s">
        <v>69</v>
      </c>
      <c r="C141" s="193">
        <v>0.30534229144651298</v>
      </c>
      <c r="D141" s="128">
        <v>3722.8935992022102</v>
      </c>
      <c r="E141" s="485"/>
      <c r="F141" s="86">
        <f>100*(C141-$E$139)/$E$139</f>
        <v>-1.8195676271053567</v>
      </c>
    </row>
    <row r="142" spans="1:6">
      <c r="A142" s="484"/>
      <c r="B142" s="37" t="s">
        <v>75</v>
      </c>
      <c r="C142" s="194">
        <v>0.38633294543249103</v>
      </c>
      <c r="D142" s="195">
        <v>-1851.16479112243</v>
      </c>
      <c r="E142" s="485">
        <f>AVERAGE(C142:C144)</f>
        <v>0.38550070404257902</v>
      </c>
      <c r="F142" s="73">
        <f>100*(C142-$E$142)/$E$142</f>
        <v>0.21588582878958396</v>
      </c>
    </row>
    <row r="143" spans="1:6">
      <c r="A143" s="484"/>
      <c r="B143" s="40" t="s">
        <v>81</v>
      </c>
      <c r="C143" s="192">
        <v>0.38251032621174602</v>
      </c>
      <c r="D143" s="123">
        <v>945.065017401055</v>
      </c>
      <c r="E143" s="485"/>
      <c r="F143" s="79">
        <f>100*(C143-$E$142)/$E$142</f>
        <v>-0.77571267690932966</v>
      </c>
    </row>
    <row r="144" spans="1:6">
      <c r="A144" s="484"/>
      <c r="B144" s="57" t="s">
        <v>87</v>
      </c>
      <c r="C144" s="193">
        <v>0.38765884048350002</v>
      </c>
      <c r="D144" s="128">
        <v>-878.02181981049205</v>
      </c>
      <c r="E144" s="485"/>
      <c r="F144" s="86">
        <f>100*(C144-$E$142)/$E$142</f>
        <v>0.5598268481197457</v>
      </c>
    </row>
    <row r="148" spans="1:5">
      <c r="B148" s="486" t="s">
        <v>204</v>
      </c>
      <c r="C148" s="486"/>
      <c r="D148" s="486"/>
      <c r="E148" s="486"/>
    </row>
    <row r="149" spans="1:5">
      <c r="A149" s="132" t="s">
        <v>148</v>
      </c>
      <c r="B149" s="21" t="s">
        <v>205</v>
      </c>
      <c r="C149" s="196" t="s">
        <v>206</v>
      </c>
      <c r="D149" s="21" t="s">
        <v>207</v>
      </c>
      <c r="E149" s="133" t="s">
        <v>208</v>
      </c>
    </row>
    <row r="150" spans="1:5">
      <c r="A150" s="134" t="s">
        <v>209</v>
      </c>
      <c r="B150" s="38"/>
      <c r="C150" s="197"/>
      <c r="D150" s="38"/>
      <c r="E150" s="60"/>
    </row>
    <row r="151" spans="1:5">
      <c r="A151" s="136" t="s">
        <v>210</v>
      </c>
      <c r="B151" s="41"/>
      <c r="C151" s="198"/>
      <c r="D151" s="41"/>
      <c r="E151" s="61"/>
    </row>
    <row r="152" spans="1:5">
      <c r="A152" s="136" t="s">
        <v>211</v>
      </c>
      <c r="B152" s="41"/>
      <c r="C152" s="198"/>
      <c r="D152" s="41"/>
      <c r="E152" s="61"/>
    </row>
    <row r="153" spans="1:5">
      <c r="A153" s="136" t="s">
        <v>212</v>
      </c>
      <c r="B153" s="41"/>
      <c r="C153" s="198"/>
      <c r="D153" s="41"/>
      <c r="E153" s="61"/>
    </row>
    <row r="154" spans="1:5">
      <c r="A154" s="136" t="s">
        <v>213</v>
      </c>
      <c r="B154" s="41"/>
      <c r="C154" s="198"/>
      <c r="D154" s="41"/>
      <c r="E154" s="61"/>
    </row>
    <row r="155" spans="1:5">
      <c r="A155" s="137" t="s">
        <v>214</v>
      </c>
      <c r="B155" s="58"/>
      <c r="C155" s="199"/>
      <c r="D155" s="58"/>
      <c r="E155" s="62"/>
    </row>
    <row r="156" spans="1:5">
      <c r="A156" s="200" t="s">
        <v>215</v>
      </c>
      <c r="B156" s="65"/>
      <c r="C156" s="201"/>
      <c r="D156" s="66"/>
      <c r="E156" s="202"/>
    </row>
    <row r="157" spans="1:5">
      <c r="A157" s="136" t="s">
        <v>216</v>
      </c>
      <c r="B157" s="41"/>
      <c r="C157" s="198"/>
      <c r="D157" s="41"/>
      <c r="E157" s="61"/>
    </row>
    <row r="158" spans="1:5">
      <c r="A158" s="136" t="s">
        <v>217</v>
      </c>
      <c r="B158" s="41"/>
      <c r="C158" s="198"/>
      <c r="D158" s="41"/>
      <c r="E158" s="61"/>
    </row>
    <row r="159" spans="1:5">
      <c r="A159" s="136" t="s">
        <v>218</v>
      </c>
      <c r="B159" s="41"/>
      <c r="C159" s="198"/>
      <c r="D159" s="41"/>
      <c r="E159" s="61"/>
    </row>
    <row r="160" spans="1:5">
      <c r="A160" s="136" t="s">
        <v>219</v>
      </c>
      <c r="B160" s="41"/>
      <c r="C160" s="198"/>
      <c r="D160" s="41"/>
      <c r="E160" s="61"/>
    </row>
    <row r="161" spans="1:9">
      <c r="A161" s="203" t="s">
        <v>220</v>
      </c>
      <c r="B161" s="204"/>
      <c r="C161" s="205"/>
      <c r="D161" s="206"/>
      <c r="E161" s="207"/>
    </row>
    <row r="162" spans="1:9">
      <c r="A162" s="134" t="s">
        <v>221</v>
      </c>
      <c r="B162" s="38"/>
      <c r="C162" s="197"/>
      <c r="D162" s="38"/>
      <c r="E162" s="60"/>
    </row>
    <row r="163" spans="1:9">
      <c r="A163" s="136" t="s">
        <v>222</v>
      </c>
      <c r="B163" s="41"/>
      <c r="C163" s="198"/>
      <c r="D163" s="41"/>
      <c r="E163" s="61"/>
    </row>
    <row r="164" spans="1:9">
      <c r="A164" s="137" t="s">
        <v>223</v>
      </c>
      <c r="B164" s="58"/>
      <c r="C164" s="199"/>
      <c r="D164" s="58"/>
      <c r="E164" s="62"/>
    </row>
    <row r="165" spans="1:9">
      <c r="A165" s="208"/>
      <c r="B165" s="18"/>
      <c r="C165" s="18"/>
      <c r="D165" s="52"/>
      <c r="E165" s="52"/>
    </row>
    <row r="166" spans="1:9">
      <c r="A166" s="208"/>
      <c r="B166" s="18"/>
      <c r="C166" s="18"/>
      <c r="D166" s="52"/>
      <c r="E166" s="52"/>
    </row>
    <row r="167" spans="1:9">
      <c r="A167" s="208"/>
      <c r="B167" s="18"/>
      <c r="C167" s="18"/>
      <c r="D167" s="52"/>
      <c r="E167" s="52"/>
    </row>
    <row r="168" spans="1:9">
      <c r="A168" s="42" t="s">
        <v>224</v>
      </c>
    </row>
    <row r="169" spans="1:9">
      <c r="D169" s="510" t="s">
        <v>148</v>
      </c>
      <c r="E169" s="510"/>
      <c r="F169" s="510"/>
      <c r="G169" s="510"/>
      <c r="H169" s="510"/>
      <c r="I169" s="510"/>
    </row>
    <row r="170" spans="1:9">
      <c r="D170" s="209" t="s">
        <v>55</v>
      </c>
      <c r="E170" s="210" t="s">
        <v>61</v>
      </c>
      <c r="F170" s="211" t="s">
        <v>67</v>
      </c>
      <c r="G170" s="209" t="s">
        <v>73</v>
      </c>
      <c r="H170" s="210" t="s">
        <v>79</v>
      </c>
      <c r="I170" s="212" t="s">
        <v>85</v>
      </c>
    </row>
    <row r="171" spans="1:9">
      <c r="B171" s="484" t="s">
        <v>225</v>
      </c>
      <c r="C171" s="22" t="s">
        <v>55</v>
      </c>
      <c r="D171" s="213">
        <v>3839.4014999999999</v>
      </c>
      <c r="E171" s="166">
        <v>1536.23038</v>
      </c>
      <c r="F171" s="214">
        <v>1556.7577200000001</v>
      </c>
      <c r="G171" s="169">
        <v>19.267500000000599</v>
      </c>
      <c r="H171" s="166">
        <v>-6.0847399999992202</v>
      </c>
      <c r="I171" s="167">
        <v>-10.6515319999999</v>
      </c>
    </row>
    <row r="172" spans="1:9">
      <c r="B172" s="484"/>
      <c r="C172" s="25" t="s">
        <v>61</v>
      </c>
      <c r="D172" s="175">
        <v>1538.7769000000001</v>
      </c>
      <c r="E172" s="215">
        <v>3774.1799799999999</v>
      </c>
      <c r="F172" s="216">
        <v>1532.45832</v>
      </c>
      <c r="G172" s="175">
        <v>-5.2498799999997301</v>
      </c>
      <c r="H172" s="172">
        <v>11.196580000000599</v>
      </c>
      <c r="I172" s="173">
        <v>-1.49337999999995</v>
      </c>
    </row>
    <row r="173" spans="1:9">
      <c r="B173" s="484"/>
      <c r="C173" s="30" t="s">
        <v>67</v>
      </c>
      <c r="D173" s="181">
        <v>1543.4707000000001</v>
      </c>
      <c r="E173" s="178">
        <v>1534.8735799999999</v>
      </c>
      <c r="F173" s="217">
        <v>3810.93732</v>
      </c>
      <c r="G173" s="181">
        <v>2.4280000000317201E-2</v>
      </c>
      <c r="H173" s="178">
        <v>-20.8657199999986</v>
      </c>
      <c r="I173" s="179">
        <v>23.63166</v>
      </c>
    </row>
    <row r="174" spans="1:9">
      <c r="B174" s="484"/>
      <c r="C174" s="33" t="s">
        <v>73</v>
      </c>
      <c r="D174" s="218">
        <v>73.610019999999906</v>
      </c>
      <c r="E174" s="219">
        <v>-134.40734</v>
      </c>
      <c r="F174" s="220">
        <v>106.36272</v>
      </c>
      <c r="G174" s="221">
        <v>3095.1252800000002</v>
      </c>
      <c r="H174" s="219">
        <v>-569.59522000000004</v>
      </c>
      <c r="I174" s="222">
        <v>-555.02215999999999</v>
      </c>
    </row>
    <row r="175" spans="1:9">
      <c r="B175" s="484"/>
      <c r="C175" s="25" t="s">
        <v>79</v>
      </c>
      <c r="D175" s="175">
        <v>84.100359999999995</v>
      </c>
      <c r="E175" s="172">
        <v>31.786160000000098</v>
      </c>
      <c r="F175" s="216">
        <v>-139.61498</v>
      </c>
      <c r="G175" s="175">
        <v>-553.26454000000001</v>
      </c>
      <c r="H175" s="215">
        <v>3076.1235200000001</v>
      </c>
      <c r="I175" s="173">
        <v>-570.74357999999995</v>
      </c>
    </row>
    <row r="176" spans="1:9">
      <c r="B176" s="484"/>
      <c r="C176" s="30" t="s">
        <v>85</v>
      </c>
      <c r="D176" s="181">
        <v>-155.65196</v>
      </c>
      <c r="E176" s="178">
        <v>83.629140000000007</v>
      </c>
      <c r="F176" s="223">
        <v>37.977119999999999</v>
      </c>
      <c r="G176" s="181">
        <v>-564.95767999999998</v>
      </c>
      <c r="H176" s="178">
        <v>-537.83550000000002</v>
      </c>
      <c r="I176" s="224">
        <v>3050.7204200000001</v>
      </c>
    </row>
    <row r="177" spans="1:9">
      <c r="B177" s="18"/>
      <c r="C177" s="208"/>
      <c r="D177" s="225"/>
      <c r="E177" s="225"/>
      <c r="F177" s="225"/>
      <c r="G177" s="225"/>
      <c r="H177" s="225"/>
      <c r="I177" s="225"/>
    </row>
    <row r="178" spans="1:9">
      <c r="D178" s="225"/>
      <c r="E178" s="225"/>
      <c r="F178" s="225"/>
      <c r="G178" s="225"/>
      <c r="H178" s="225"/>
      <c r="I178" s="225"/>
    </row>
    <row r="179" spans="1:9">
      <c r="D179" s="510" t="s">
        <v>148</v>
      </c>
      <c r="E179" s="510"/>
      <c r="F179" s="510"/>
      <c r="G179" s="510"/>
      <c r="H179" s="510"/>
      <c r="I179" s="510"/>
    </row>
    <row r="180" spans="1:9">
      <c r="D180" s="160" t="s">
        <v>57</v>
      </c>
      <c r="E180" s="161" t="s">
        <v>63</v>
      </c>
      <c r="F180" s="226" t="s">
        <v>69</v>
      </c>
      <c r="G180" s="160" t="s">
        <v>75</v>
      </c>
      <c r="H180" s="161" t="s">
        <v>81</v>
      </c>
      <c r="I180" s="162" t="s">
        <v>87</v>
      </c>
    </row>
    <row r="181" spans="1:9">
      <c r="B181" s="484" t="s">
        <v>225</v>
      </c>
      <c r="C181" s="22" t="s">
        <v>57</v>
      </c>
      <c r="D181" s="213">
        <v>2192.2832600000002</v>
      </c>
      <c r="E181" s="166">
        <v>327.19058999999999</v>
      </c>
      <c r="F181" s="214">
        <v>346.56340000000102</v>
      </c>
      <c r="G181" s="169">
        <v>-12.3328000000004</v>
      </c>
      <c r="H181" s="166">
        <v>-18.034879999999902</v>
      </c>
      <c r="I181" s="167">
        <v>21.071840000000599</v>
      </c>
    </row>
    <row r="182" spans="1:9">
      <c r="B182" s="484"/>
      <c r="C182" s="25" t="s">
        <v>63</v>
      </c>
      <c r="D182" s="175">
        <v>326.43752000000001</v>
      </c>
      <c r="E182" s="215">
        <v>2186.7967119999998</v>
      </c>
      <c r="F182" s="216">
        <v>348.58019999999902</v>
      </c>
      <c r="G182" s="175">
        <v>-9.8802000000007393</v>
      </c>
      <c r="H182" s="172">
        <v>-2.2481399999993501</v>
      </c>
      <c r="I182" s="173">
        <v>-6.3785399999992496</v>
      </c>
    </row>
    <row r="183" spans="1:9">
      <c r="B183" s="484"/>
      <c r="C183" s="30" t="s">
        <v>69</v>
      </c>
      <c r="D183" s="181">
        <v>326.05959999999999</v>
      </c>
      <c r="E183" s="178">
        <v>311.16489999999999</v>
      </c>
      <c r="F183" s="217">
        <v>2161.9204</v>
      </c>
      <c r="G183" s="181">
        <v>-25.214399999999198</v>
      </c>
      <c r="H183" s="178">
        <v>9.0671000000008899</v>
      </c>
      <c r="I183" s="179">
        <v>5.8316600000002801</v>
      </c>
    </row>
    <row r="184" spans="1:9">
      <c r="B184" s="484"/>
      <c r="C184" s="33" t="s">
        <v>75</v>
      </c>
      <c r="D184" s="218">
        <v>69.0606200000001</v>
      </c>
      <c r="E184" s="219">
        <v>114.240532</v>
      </c>
      <c r="F184" s="220">
        <v>-181.633000000002</v>
      </c>
      <c r="G184" s="221">
        <v>2716.7697800000001</v>
      </c>
      <c r="H184" s="219">
        <v>283.41748000000001</v>
      </c>
      <c r="I184" s="222">
        <v>-12.003039999999601</v>
      </c>
    </row>
    <row r="185" spans="1:9">
      <c r="B185" s="484"/>
      <c r="C185" s="25" t="s">
        <v>81</v>
      </c>
      <c r="D185" s="175">
        <v>-201.82232999999999</v>
      </c>
      <c r="E185" s="172">
        <v>50.571132000000098</v>
      </c>
      <c r="F185" s="216">
        <v>123.396999999998</v>
      </c>
      <c r="G185" s="175">
        <v>-26.728800000000302</v>
      </c>
      <c r="H185" s="215">
        <v>2675.8948799999998</v>
      </c>
      <c r="I185" s="173">
        <v>286.52305999999999</v>
      </c>
    </row>
    <row r="186" spans="1:9">
      <c r="B186" s="484"/>
      <c r="C186" s="30" t="s">
        <v>87</v>
      </c>
      <c r="D186" s="181">
        <v>120.42392</v>
      </c>
      <c r="E186" s="178">
        <v>-208.67026799999999</v>
      </c>
      <c r="F186" s="223">
        <v>96.932599999997805</v>
      </c>
      <c r="G186" s="181">
        <v>294.327</v>
      </c>
      <c r="H186" s="178">
        <v>-7.1387799999994304</v>
      </c>
      <c r="I186" s="224">
        <v>2704.81828</v>
      </c>
    </row>
    <row r="188" spans="1:9">
      <c r="A188" s="42" t="s">
        <v>227</v>
      </c>
    </row>
    <row r="189" spans="1:9">
      <c r="C189" s="227"/>
      <c r="D189" s="113" t="s">
        <v>228</v>
      </c>
      <c r="E189" s="163" t="s">
        <v>229</v>
      </c>
      <c r="F189" s="113" t="s">
        <v>230</v>
      </c>
      <c r="G189" s="163" t="s">
        <v>231</v>
      </c>
      <c r="H189" s="113" t="s">
        <v>231</v>
      </c>
      <c r="I189" s="114" t="s">
        <v>232</v>
      </c>
    </row>
    <row r="190" spans="1:9">
      <c r="B190" s="484" t="s">
        <v>225</v>
      </c>
      <c r="C190" s="164" t="s">
        <v>228</v>
      </c>
      <c r="D190" s="228">
        <v>1529.10232</v>
      </c>
      <c r="E190" s="168">
        <v>-1.4771399999999599</v>
      </c>
      <c r="F190" s="72">
        <v>12.228980000000099</v>
      </c>
      <c r="G190" s="168">
        <v>-8.19397200000002</v>
      </c>
      <c r="H190" s="72">
        <v>-19.660780000000301</v>
      </c>
      <c r="I190" s="119">
        <v>17.896740000000101</v>
      </c>
    </row>
    <row r="191" spans="1:9">
      <c r="B191" s="484"/>
      <c r="C191" s="170" t="s">
        <v>229</v>
      </c>
      <c r="D191" s="78">
        <v>-27.78004</v>
      </c>
      <c r="E191" s="229">
        <v>1504.4793199999999</v>
      </c>
      <c r="F191" s="78">
        <v>1.58235999999999</v>
      </c>
      <c r="G191" s="174">
        <v>19.369316000000001</v>
      </c>
      <c r="H191" s="78">
        <v>-21.446079999999998</v>
      </c>
      <c r="I191" s="124">
        <v>-9.3653999999998501</v>
      </c>
    </row>
    <row r="192" spans="1:9">
      <c r="B192" s="484"/>
      <c r="C192" s="170" t="s">
        <v>230</v>
      </c>
      <c r="D192" s="78">
        <v>5.6147200000002604</v>
      </c>
      <c r="E192" s="174">
        <v>-13.1875579999999</v>
      </c>
      <c r="F192" s="230">
        <v>651.92517999999995</v>
      </c>
      <c r="G192" s="174">
        <v>1.27383600000002</v>
      </c>
      <c r="H192" s="78">
        <v>-17.258940000000202</v>
      </c>
      <c r="I192" s="124">
        <v>-8.5615199999999696</v>
      </c>
    </row>
    <row r="193" spans="2:9">
      <c r="B193" s="484"/>
      <c r="C193" s="170" t="s">
        <v>233</v>
      </c>
      <c r="D193" s="78">
        <v>-1.75113999999996</v>
      </c>
      <c r="E193" s="231">
        <v>314.910078</v>
      </c>
      <c r="F193" s="78">
        <v>-2.3960200000001399</v>
      </c>
      <c r="G193" s="229">
        <v>2656.02115</v>
      </c>
      <c r="H193" s="78">
        <v>-5.3923600000000498</v>
      </c>
      <c r="I193" s="124">
        <v>-14.5957000000001</v>
      </c>
    </row>
    <row r="194" spans="2:9">
      <c r="B194" s="484"/>
      <c r="C194" s="170" t="s">
        <v>231</v>
      </c>
      <c r="D194" s="232">
        <v>-327.05988000000099</v>
      </c>
      <c r="E194" s="174">
        <v>22.761524000000101</v>
      </c>
      <c r="F194" s="78">
        <v>6.5227999999999602</v>
      </c>
      <c r="G194" s="174">
        <v>4.5257440000000697</v>
      </c>
      <c r="H194" s="230">
        <v>2635.3295199999998</v>
      </c>
      <c r="I194" s="124">
        <v>-5.6119800000000204</v>
      </c>
    </row>
    <row r="195" spans="2:9">
      <c r="B195" s="484"/>
      <c r="C195" s="176" t="s">
        <v>232</v>
      </c>
      <c r="D195" s="85">
        <v>13.9518440000002</v>
      </c>
      <c r="E195" s="180">
        <v>-7.6466799999999502</v>
      </c>
      <c r="F195" s="85">
        <v>18.047319999999701</v>
      </c>
      <c r="G195" s="180">
        <v>-2.7298060000000399</v>
      </c>
      <c r="H195" s="85">
        <v>-2.3542599999998401</v>
      </c>
      <c r="I195" s="233">
        <v>2900.3807200000001</v>
      </c>
    </row>
    <row r="196" spans="2:9">
      <c r="C196" s="227"/>
      <c r="D196" s="225"/>
      <c r="E196" s="225"/>
      <c r="F196" s="225"/>
      <c r="G196" s="225"/>
      <c r="H196" s="225"/>
      <c r="I196" s="225"/>
    </row>
    <row r="197" spans="2:9">
      <c r="C197" s="227"/>
      <c r="D197" s="225"/>
      <c r="E197" s="225"/>
      <c r="F197" s="225"/>
      <c r="G197" s="225"/>
      <c r="H197" s="225"/>
      <c r="I197" s="225"/>
    </row>
    <row r="198" spans="2:9">
      <c r="C198" s="227"/>
      <c r="D198" s="234" t="s">
        <v>234</v>
      </c>
      <c r="E198" s="113" t="s">
        <v>235</v>
      </c>
      <c r="F198" s="163" t="s">
        <v>236</v>
      </c>
      <c r="G198" s="113" t="s">
        <v>237</v>
      </c>
      <c r="H198" s="163" t="s">
        <v>237</v>
      </c>
      <c r="I198" s="113" t="s">
        <v>238</v>
      </c>
    </row>
    <row r="199" spans="2:9">
      <c r="B199" s="484" t="s">
        <v>225</v>
      </c>
      <c r="C199" s="235" t="s">
        <v>234</v>
      </c>
      <c r="D199" s="236">
        <v>1233.6156000000001</v>
      </c>
      <c r="E199" s="96">
        <v>7.9933999999993803</v>
      </c>
      <c r="F199" s="237">
        <v>-5.9150599999998104</v>
      </c>
      <c r="G199" s="96">
        <v>-3.0754000000015398</v>
      </c>
      <c r="H199" s="237">
        <v>35.025199999999998</v>
      </c>
      <c r="I199" s="96">
        <v>-14.271999999999901</v>
      </c>
    </row>
    <row r="200" spans="2:9">
      <c r="B200" s="484"/>
      <c r="C200" s="238" t="s">
        <v>235</v>
      </c>
      <c r="D200" s="123">
        <v>11.0917999999995</v>
      </c>
      <c r="E200" s="230">
        <v>1229.9099000000001</v>
      </c>
      <c r="F200" s="174">
        <v>-11.915940000000001</v>
      </c>
      <c r="G200" s="78">
        <v>-21.337200000002198</v>
      </c>
      <c r="H200" s="174">
        <v>-8.3907399999999903</v>
      </c>
      <c r="I200" s="78">
        <v>19.179400000000001</v>
      </c>
    </row>
    <row r="201" spans="2:9">
      <c r="B201" s="484"/>
      <c r="C201" s="238" t="s">
        <v>236</v>
      </c>
      <c r="D201" s="123">
        <v>0.36700000000041699</v>
      </c>
      <c r="E201" s="78">
        <v>1.6675999999995399</v>
      </c>
      <c r="F201" s="229">
        <v>983.54903999999999</v>
      </c>
      <c r="G201" s="78">
        <v>-8.8618000000024004</v>
      </c>
      <c r="H201" s="174">
        <v>13.4339999999999</v>
      </c>
      <c r="I201" s="78">
        <v>-2.8975999999995601</v>
      </c>
    </row>
    <row r="202" spans="2:9">
      <c r="B202" s="484"/>
      <c r="C202" s="238" t="s">
        <v>239</v>
      </c>
      <c r="D202" s="123">
        <v>3.2994000000003298</v>
      </c>
      <c r="E202" s="232">
        <v>-12.346799999999799</v>
      </c>
      <c r="F202" s="174">
        <v>-20.721400000000099</v>
      </c>
      <c r="G202" s="230">
        <v>3939.3989999999999</v>
      </c>
      <c r="H202" s="174">
        <v>12.2376800000001</v>
      </c>
      <c r="I202" s="78">
        <v>-5.2721999999996596</v>
      </c>
    </row>
    <row r="203" spans="2:9">
      <c r="B203" s="484"/>
      <c r="C203" s="238" t="s">
        <v>237</v>
      </c>
      <c r="D203" s="239">
        <v>9.4317999999996101</v>
      </c>
      <c r="E203" s="78">
        <v>8.7750000000003201</v>
      </c>
      <c r="F203" s="174">
        <v>5.01512000000002</v>
      </c>
      <c r="G203" s="78">
        <v>24.4789999999971</v>
      </c>
      <c r="H203" s="229">
        <v>3972.90524</v>
      </c>
      <c r="I203" s="78">
        <v>4.9888000000005404</v>
      </c>
    </row>
    <row r="204" spans="2:9">
      <c r="B204" s="484"/>
      <c r="C204" s="240" t="s">
        <v>238</v>
      </c>
      <c r="D204" s="128">
        <v>1.3104000000003</v>
      </c>
      <c r="E204" s="85">
        <v>12.964399999998699</v>
      </c>
      <c r="F204" s="180">
        <v>2.8611000000000799</v>
      </c>
      <c r="G204" s="85">
        <v>-7.0600000000922605E-2</v>
      </c>
      <c r="H204" s="180">
        <v>-6.31496000000016</v>
      </c>
      <c r="I204" s="241">
        <v>2350.7464</v>
      </c>
    </row>
    <row r="206" spans="2:9">
      <c r="D206" s="510" t="s">
        <v>148</v>
      </c>
      <c r="E206" s="510"/>
      <c r="F206" s="510"/>
      <c r="G206" s="510"/>
      <c r="H206" s="510"/>
      <c r="I206" s="510"/>
    </row>
    <row r="207" spans="2:9">
      <c r="C207" s="227"/>
      <c r="D207" s="132" t="s">
        <v>55</v>
      </c>
      <c r="E207" s="21" t="s">
        <v>61</v>
      </c>
      <c r="F207" s="133" t="s">
        <v>67</v>
      </c>
      <c r="G207" s="196" t="s">
        <v>73</v>
      </c>
      <c r="H207" s="21" t="s">
        <v>79</v>
      </c>
      <c r="I207" s="133" t="s">
        <v>85</v>
      </c>
    </row>
    <row r="208" spans="2:9">
      <c r="B208" s="484" t="s">
        <v>225</v>
      </c>
      <c r="C208" s="164" t="s">
        <v>228</v>
      </c>
      <c r="D208" s="118">
        <v>1547.2966799999999</v>
      </c>
      <c r="E208" s="72">
        <v>-750.23173999999995</v>
      </c>
      <c r="F208" s="119">
        <v>-745.30664000000002</v>
      </c>
      <c r="G208" s="168">
        <v>26.877559999999999</v>
      </c>
      <c r="H208" s="72">
        <v>-0.63632000000075095</v>
      </c>
      <c r="I208" s="119">
        <v>-14.826940000000199</v>
      </c>
    </row>
    <row r="209" spans="2:9">
      <c r="B209" s="484"/>
      <c r="C209" s="170" t="s">
        <v>229</v>
      </c>
      <c r="D209" s="123">
        <v>40.829952000000098</v>
      </c>
      <c r="E209" s="78">
        <v>1285.75406</v>
      </c>
      <c r="F209" s="124">
        <v>-1312.1095399999999</v>
      </c>
      <c r="G209" s="174">
        <v>-5.2066800000002296</v>
      </c>
      <c r="H209" s="78">
        <v>13.067760000000099</v>
      </c>
      <c r="I209" s="124">
        <v>-11.7275799999999</v>
      </c>
    </row>
    <row r="210" spans="2:9">
      <c r="B210" s="484"/>
      <c r="C210" s="170" t="s">
        <v>230</v>
      </c>
      <c r="D210" s="123">
        <v>-1.1149000000001501</v>
      </c>
      <c r="E210" s="78">
        <v>-18.4819600000002</v>
      </c>
      <c r="F210" s="124">
        <v>-7.9125399999996899</v>
      </c>
      <c r="G210" s="174">
        <v>656.06334000000004</v>
      </c>
      <c r="H210" s="78">
        <v>644.69232</v>
      </c>
      <c r="I210" s="124">
        <v>638.31164000000001</v>
      </c>
    </row>
    <row r="211" spans="2:9">
      <c r="B211" s="484"/>
      <c r="C211" s="170" t="s">
        <v>233</v>
      </c>
      <c r="D211" s="123">
        <v>-15.0558800000001</v>
      </c>
      <c r="E211" s="78">
        <v>122.84358</v>
      </c>
      <c r="F211" s="124">
        <v>-149.17702</v>
      </c>
      <c r="G211" s="174">
        <v>-2548.4120600000001</v>
      </c>
      <c r="H211" s="78">
        <v>2160.6831200000001</v>
      </c>
      <c r="I211" s="124">
        <v>393.71976000000001</v>
      </c>
    </row>
    <row r="212" spans="2:9">
      <c r="B212" s="484"/>
      <c r="C212" s="170" t="s">
        <v>231</v>
      </c>
      <c r="D212" s="123">
        <v>-179.55866</v>
      </c>
      <c r="E212" s="78">
        <v>74.515739999999695</v>
      </c>
      <c r="F212" s="124">
        <v>67.399440000000297</v>
      </c>
      <c r="G212" s="174">
        <v>-1005.5492819999999</v>
      </c>
      <c r="H212" s="78">
        <v>-1691.9763600000001</v>
      </c>
      <c r="I212" s="124">
        <v>2709.2365199999999</v>
      </c>
    </row>
    <row r="213" spans="2:9">
      <c r="B213" s="484"/>
      <c r="C213" s="176" t="s">
        <v>232</v>
      </c>
      <c r="D213" s="128">
        <v>2858.1956799999998</v>
      </c>
      <c r="E213" s="85">
        <v>2773.3434600000001</v>
      </c>
      <c r="F213" s="129">
        <v>2786.96506</v>
      </c>
      <c r="G213" s="180">
        <v>15.5697600000001</v>
      </c>
      <c r="H213" s="85">
        <v>-5.6356400000007598</v>
      </c>
      <c r="I213" s="129">
        <v>16.9630000000001</v>
      </c>
    </row>
    <row r="214" spans="2:9">
      <c r="C214" s="227"/>
      <c r="D214" s="225"/>
      <c r="E214" s="225"/>
      <c r="F214" s="225"/>
      <c r="G214" s="225"/>
      <c r="H214" s="225"/>
      <c r="I214" s="225"/>
    </row>
    <row r="215" spans="2:9">
      <c r="C215" s="227"/>
      <c r="D215" s="510" t="s">
        <v>148</v>
      </c>
      <c r="E215" s="510"/>
      <c r="F215" s="510"/>
      <c r="G215" s="510"/>
      <c r="H215" s="510"/>
      <c r="I215" s="510"/>
    </row>
    <row r="216" spans="2:9">
      <c r="C216" s="227"/>
      <c r="D216" s="242" t="s">
        <v>57</v>
      </c>
      <c r="E216" s="243" t="s">
        <v>63</v>
      </c>
      <c r="F216" s="244" t="s">
        <v>69</v>
      </c>
      <c r="G216" s="242" t="s">
        <v>75</v>
      </c>
      <c r="H216" s="243" t="s">
        <v>81</v>
      </c>
      <c r="I216" s="245" t="s">
        <v>87</v>
      </c>
    </row>
    <row r="217" spans="2:9">
      <c r="B217" s="484" t="s">
        <v>225</v>
      </c>
      <c r="C217" s="164" t="s">
        <v>234</v>
      </c>
      <c r="D217" s="118">
        <v>656.98032000000001</v>
      </c>
      <c r="E217" s="72">
        <v>-1254.4047599999999</v>
      </c>
      <c r="F217" s="119">
        <v>610.31160000000102</v>
      </c>
      <c r="G217" s="168">
        <v>-15.4786000000001</v>
      </c>
      <c r="H217" s="72">
        <v>-6.7225799999998799</v>
      </c>
      <c r="I217" s="119">
        <v>64.088040000000603</v>
      </c>
    </row>
    <row r="218" spans="2:9">
      <c r="B218" s="484"/>
      <c r="C218" s="170" t="s">
        <v>235</v>
      </c>
      <c r="D218" s="123">
        <v>1050.3739399999999</v>
      </c>
      <c r="E218" s="78">
        <v>3.5850800000000902</v>
      </c>
      <c r="F218" s="124">
        <v>-1048.5486000000001</v>
      </c>
      <c r="G218" s="174">
        <v>29.951199999999702</v>
      </c>
      <c r="H218" s="78">
        <v>-13.95008</v>
      </c>
      <c r="I218" s="124">
        <v>30.3799000000006</v>
      </c>
    </row>
    <row r="219" spans="2:9">
      <c r="B219" s="484"/>
      <c r="C219" s="170" t="s">
        <v>236</v>
      </c>
      <c r="D219" s="123">
        <v>-16.540420000000001</v>
      </c>
      <c r="E219" s="78">
        <v>3.6732400000001899</v>
      </c>
      <c r="F219" s="124">
        <v>4.8855999999986999</v>
      </c>
      <c r="G219" s="174">
        <v>990.70791999999994</v>
      </c>
      <c r="H219" s="78">
        <v>971.40222000000097</v>
      </c>
      <c r="I219" s="124">
        <v>1018.23122</v>
      </c>
    </row>
    <row r="220" spans="2:9">
      <c r="B220" s="484"/>
      <c r="C220" s="170" t="s">
        <v>239</v>
      </c>
      <c r="D220" s="123">
        <v>-269.51723700000002</v>
      </c>
      <c r="E220" s="78">
        <v>4.0752400000002096</v>
      </c>
      <c r="F220" s="124">
        <v>261.10080000000102</v>
      </c>
      <c r="G220" s="174">
        <v>-2295.3200000000002</v>
      </c>
      <c r="H220" s="78">
        <v>2315.8228199999999</v>
      </c>
      <c r="I220" s="124">
        <v>-6.0519799999998396</v>
      </c>
    </row>
    <row r="221" spans="2:9">
      <c r="B221" s="484"/>
      <c r="C221" s="170" t="s">
        <v>237</v>
      </c>
      <c r="D221" s="123">
        <v>180.9198188</v>
      </c>
      <c r="E221" s="78">
        <v>-303.85147999999998</v>
      </c>
      <c r="F221" s="124">
        <v>157.373600000002</v>
      </c>
      <c r="G221" s="174">
        <v>-1403.3786</v>
      </c>
      <c r="H221" s="78">
        <v>-1294.3410799999999</v>
      </c>
      <c r="I221" s="124">
        <v>2737.8032199999998</v>
      </c>
    </row>
    <row r="222" spans="2:9">
      <c r="B222" s="484"/>
      <c r="C222" s="176" t="s">
        <v>238</v>
      </c>
      <c r="D222" s="128">
        <v>1627.6515400000001</v>
      </c>
      <c r="E222" s="85">
        <v>1646.54304</v>
      </c>
      <c r="F222" s="129">
        <v>1609.5914</v>
      </c>
      <c r="G222" s="180">
        <v>20.490400000001301</v>
      </c>
      <c r="H222" s="85">
        <v>2.2679599999996798</v>
      </c>
      <c r="I222" s="129">
        <v>37.111860000000902</v>
      </c>
    </row>
    <row r="225" spans="1:5" ht="31.5">
      <c r="A225" s="303" t="s">
        <v>346</v>
      </c>
    </row>
    <row r="226" spans="1:5">
      <c r="A226" s="1" t="s">
        <v>347</v>
      </c>
    </row>
    <row r="228" spans="1:5">
      <c r="A228" s="42" t="s">
        <v>49</v>
      </c>
    </row>
    <row r="229" spans="1:5">
      <c r="A229" s="42" t="s">
        <v>240</v>
      </c>
      <c r="B229" s="64" t="s">
        <v>241</v>
      </c>
      <c r="C229" s="64" t="s">
        <v>242</v>
      </c>
      <c r="D229" s="64" t="s">
        <v>243</v>
      </c>
      <c r="E229" s="182"/>
    </row>
    <row r="230" spans="1:5">
      <c r="B230" s="65"/>
      <c r="C230" s="65"/>
      <c r="D230" s="66" t="s">
        <v>193</v>
      </c>
      <c r="E230" s="182"/>
    </row>
    <row r="231" spans="1:5">
      <c r="B231" s="41"/>
      <c r="C231" s="41"/>
      <c r="D231" s="41" t="s">
        <v>193</v>
      </c>
      <c r="E231" s="182"/>
    </row>
    <row r="232" spans="1:5">
      <c r="B232" s="41"/>
      <c r="C232" s="41"/>
      <c r="D232" s="41" t="s">
        <v>244</v>
      </c>
      <c r="E232" s="182"/>
    </row>
    <row r="233" spans="1:5">
      <c r="A233" s="1" t="s">
        <v>245</v>
      </c>
      <c r="B233" s="41"/>
      <c r="C233" s="41"/>
      <c r="D233" s="41" t="s">
        <v>244</v>
      </c>
      <c r="E233" s="182"/>
    </row>
    <row r="234" spans="1:5">
      <c r="A234" s="1" t="s">
        <v>246</v>
      </c>
      <c r="B234" s="41"/>
      <c r="C234" s="41"/>
      <c r="D234" s="41" t="s">
        <v>244</v>
      </c>
      <c r="E234" s="182"/>
    </row>
    <row r="235" spans="1:5">
      <c r="A235" s="1" t="s">
        <v>247</v>
      </c>
      <c r="B235" s="58"/>
      <c r="C235" s="58"/>
      <c r="D235" s="58" t="s">
        <v>244</v>
      </c>
      <c r="E235" s="182"/>
    </row>
    <row r="236" spans="1:5">
      <c r="B236" s="2"/>
      <c r="D236" s="182"/>
      <c r="E236" s="182"/>
    </row>
    <row r="237" spans="1:5">
      <c r="B237" s="112" t="s">
        <v>241</v>
      </c>
      <c r="C237" s="64" t="s">
        <v>242</v>
      </c>
      <c r="D237" s="184"/>
      <c r="E237" s="64" t="s">
        <v>243</v>
      </c>
    </row>
    <row r="238" spans="1:5">
      <c r="B238" s="51"/>
      <c r="C238" s="38"/>
      <c r="D238" s="90">
        <f t="shared" ref="D238:D243" si="6">B238*C238</f>
        <v>0</v>
      </c>
      <c r="E238" s="66" t="s">
        <v>244</v>
      </c>
    </row>
    <row r="239" spans="1:5">
      <c r="B239" s="56"/>
      <c r="C239" s="65"/>
      <c r="D239" s="77">
        <f t="shared" si="6"/>
        <v>0</v>
      </c>
      <c r="E239" s="41" t="s">
        <v>244</v>
      </c>
    </row>
    <row r="240" spans="1:5">
      <c r="B240" s="56"/>
      <c r="C240" s="41"/>
      <c r="D240" s="77">
        <f t="shared" si="6"/>
        <v>0</v>
      </c>
      <c r="E240" s="41" t="s">
        <v>244</v>
      </c>
    </row>
    <row r="241" spans="1:5">
      <c r="B241" s="56"/>
      <c r="C241" s="41"/>
      <c r="D241" s="77">
        <f t="shared" si="6"/>
        <v>0</v>
      </c>
      <c r="E241" s="41" t="s">
        <v>244</v>
      </c>
    </row>
    <row r="242" spans="1:5">
      <c r="B242" s="56"/>
      <c r="C242" s="41"/>
      <c r="D242" s="77">
        <f t="shared" si="6"/>
        <v>0</v>
      </c>
      <c r="E242" s="41" t="s">
        <v>244</v>
      </c>
    </row>
    <row r="243" spans="1:5">
      <c r="B243" s="138"/>
      <c r="C243" s="304"/>
      <c r="D243" s="84">
        <f t="shared" si="6"/>
        <v>0</v>
      </c>
      <c r="E243" s="58" t="s">
        <v>244</v>
      </c>
    </row>
    <row r="244" spans="1:5">
      <c r="B244" s="2"/>
      <c r="D244" s="248">
        <f>SUM(D238:D243)</f>
        <v>0</v>
      </c>
      <c r="E244" s="182" t="s">
        <v>244</v>
      </c>
    </row>
    <row r="246" spans="1:5">
      <c r="A246" s="42" t="s">
        <v>48</v>
      </c>
    </row>
    <row r="247" spans="1:5">
      <c r="A247" s="42" t="s">
        <v>240</v>
      </c>
    </row>
    <row r="249" spans="1:5">
      <c r="A249" s="1" t="s">
        <v>252</v>
      </c>
      <c r="B249" s="1">
        <v>12</v>
      </c>
      <c r="C249" s="2" t="s">
        <v>193</v>
      </c>
    </row>
    <row r="250" spans="1:5">
      <c r="A250" s="1" t="s">
        <v>253</v>
      </c>
      <c r="B250" s="1">
        <v>10</v>
      </c>
      <c r="C250" s="2" t="s">
        <v>193</v>
      </c>
    </row>
    <row r="251" spans="1:5">
      <c r="A251" s="1" t="s">
        <v>254</v>
      </c>
      <c r="B251" s="1">
        <v>10</v>
      </c>
      <c r="C251" s="2" t="s">
        <v>193</v>
      </c>
    </row>
    <row r="253" spans="1:5">
      <c r="B253" s="486" t="s">
        <v>48</v>
      </c>
      <c r="C253" s="486"/>
      <c r="D253" s="486"/>
    </row>
    <row r="254" spans="1:5">
      <c r="B254" s="112" t="s">
        <v>255</v>
      </c>
      <c r="C254" s="21" t="s">
        <v>256</v>
      </c>
      <c r="D254" s="133" t="s">
        <v>248</v>
      </c>
    </row>
    <row r="255" spans="1:5">
      <c r="B255" s="51" t="s">
        <v>257</v>
      </c>
      <c r="C255" s="38"/>
      <c r="D255" s="305">
        <f t="shared" ref="D255:D260" si="7">C255*0.458</f>
        <v>0</v>
      </c>
    </row>
    <row r="256" spans="1:5">
      <c r="B256" s="56" t="s">
        <v>258</v>
      </c>
      <c r="C256" s="41"/>
      <c r="D256" s="306">
        <f t="shared" si="7"/>
        <v>0</v>
      </c>
    </row>
    <row r="257" spans="1:4">
      <c r="B257" s="56" t="s">
        <v>259</v>
      </c>
      <c r="C257" s="41"/>
      <c r="D257" s="306">
        <f t="shared" si="7"/>
        <v>0</v>
      </c>
    </row>
    <row r="258" spans="1:4">
      <c r="B258" s="56" t="s">
        <v>260</v>
      </c>
      <c r="C258" s="41"/>
      <c r="D258" s="306">
        <f t="shared" si="7"/>
        <v>0</v>
      </c>
    </row>
    <row r="259" spans="1:4">
      <c r="B259" s="56" t="s">
        <v>261</v>
      </c>
      <c r="C259" s="41"/>
      <c r="D259" s="306">
        <f t="shared" si="7"/>
        <v>0</v>
      </c>
    </row>
    <row r="260" spans="1:4">
      <c r="B260" s="246" t="s">
        <v>262</v>
      </c>
      <c r="C260" s="204"/>
      <c r="D260" s="307">
        <f t="shared" si="7"/>
        <v>0</v>
      </c>
    </row>
    <row r="261" spans="1:4">
      <c r="B261" s="112" t="s">
        <v>263</v>
      </c>
      <c r="C261" s="157">
        <f>SUM(C255:C260)</f>
        <v>0</v>
      </c>
      <c r="D261" s="308">
        <f>SUM(D255:D260)</f>
        <v>0</v>
      </c>
    </row>
    <row r="265" spans="1:4">
      <c r="A265" s="112" t="s">
        <v>45</v>
      </c>
      <c r="B265" s="64" t="s">
        <v>348</v>
      </c>
    </row>
    <row r="266" spans="1:4">
      <c r="A266" s="22" t="s">
        <v>349</v>
      </c>
      <c r="B266" s="309">
        <v>1.0085585947085201</v>
      </c>
    </row>
    <row r="267" spans="1:4">
      <c r="A267" s="25" t="s">
        <v>350</v>
      </c>
      <c r="B267" s="310">
        <v>0.99999534146109503</v>
      </c>
      <c r="D267" s="2"/>
    </row>
    <row r="268" spans="1:4">
      <c r="A268" s="25" t="s">
        <v>351</v>
      </c>
      <c r="B268" s="310">
        <v>0.99159001943935199</v>
      </c>
    </row>
    <row r="269" spans="1:4">
      <c r="A269" s="25" t="s">
        <v>352</v>
      </c>
      <c r="B269" s="310">
        <v>0.98855581232616796</v>
      </c>
    </row>
    <row r="270" spans="1:4">
      <c r="A270" s="25" t="s">
        <v>353</v>
      </c>
      <c r="B270" s="310">
        <v>1.0016858821657899</v>
      </c>
    </row>
    <row r="271" spans="1:4">
      <c r="A271" s="25" t="s">
        <v>354</v>
      </c>
      <c r="B271" s="310">
        <v>1.0099924905346001</v>
      </c>
    </row>
    <row r="272" spans="1:4">
      <c r="A272" s="25" t="s">
        <v>355</v>
      </c>
      <c r="B272" s="310">
        <v>0.98964257495139496</v>
      </c>
    </row>
    <row r="273" spans="1:7">
      <c r="A273" s="25" t="s">
        <v>356</v>
      </c>
      <c r="B273" s="310">
        <v>0.98952549818298496</v>
      </c>
    </row>
    <row r="274" spans="1:7">
      <c r="A274" s="25" t="s">
        <v>357</v>
      </c>
      <c r="B274" s="310">
        <v>1.02150388505585</v>
      </c>
    </row>
    <row r="275" spans="1:7">
      <c r="A275" s="25" t="s">
        <v>358</v>
      </c>
      <c r="B275" s="310">
        <v>1.0014708262760299</v>
      </c>
    </row>
    <row r="276" spans="1:7">
      <c r="A276" s="25" t="s">
        <v>359</v>
      </c>
      <c r="B276" s="310">
        <v>1.0079948916555099</v>
      </c>
    </row>
    <row r="277" spans="1:7" ht="15.75" thickBot="1">
      <c r="A277" s="30" t="s">
        <v>360</v>
      </c>
      <c r="B277" s="311">
        <v>0.99068739341286705</v>
      </c>
    </row>
    <row r="278" spans="1:7" s="140" customFormat="1">
      <c r="A278" s="208"/>
      <c r="B278" s="333"/>
      <c r="C278" s="2"/>
    </row>
    <row r="279" spans="1:7" ht="15.75" thickBot="1">
      <c r="A279" s="334" t="s">
        <v>392</v>
      </c>
    </row>
    <row r="280" spans="1:7" s="140" customFormat="1" ht="15.75" thickBot="1">
      <c r="A280" s="43"/>
      <c r="B280" s="504" t="s">
        <v>145</v>
      </c>
      <c r="C280" s="504"/>
      <c r="D280" s="505" t="s">
        <v>146</v>
      </c>
      <c r="E280" s="505"/>
      <c r="F280" s="518" t="s">
        <v>147</v>
      </c>
      <c r="G280" s="518"/>
    </row>
    <row r="281" spans="1:7" s="140" customFormat="1" ht="15.75" thickBot="1">
      <c r="A281" s="24" t="s">
        <v>148</v>
      </c>
      <c r="B281" s="36" t="s">
        <v>149</v>
      </c>
      <c r="C281" s="59" t="s">
        <v>150</v>
      </c>
      <c r="D281" s="24" t="s">
        <v>149</v>
      </c>
      <c r="E281" s="23" t="s">
        <v>150</v>
      </c>
      <c r="F281" s="59" t="s">
        <v>149</v>
      </c>
      <c r="G281" s="24" t="s">
        <v>151</v>
      </c>
    </row>
    <row r="282" spans="1:7" s="140" customFormat="1">
      <c r="A282" s="63" t="s">
        <v>55</v>
      </c>
      <c r="B282" s="68">
        <v>260.63472179323401</v>
      </c>
      <c r="C282" s="69">
        <v>36.635792077027801</v>
      </c>
      <c r="D282" s="70">
        <v>417.30630997009598</v>
      </c>
      <c r="E282" s="71">
        <v>62.7129066177813</v>
      </c>
      <c r="F282" s="288">
        <f t="shared" ref="F282:F293" si="8">B282-D282</f>
        <v>-156.67158817686197</v>
      </c>
      <c r="G282" s="73">
        <f t="shared" ref="G282:G287" si="9">F282/840</f>
        <v>-0.18651379544864521</v>
      </c>
    </row>
    <row r="283" spans="1:7" s="140" customFormat="1">
      <c r="A283" s="40" t="s">
        <v>61</v>
      </c>
      <c r="B283" s="74">
        <v>-218.96947852522101</v>
      </c>
      <c r="C283" s="75">
        <v>22.362343790211899</v>
      </c>
      <c r="D283" s="76">
        <v>106.193416058255</v>
      </c>
      <c r="E283" s="77">
        <v>40.949363499931103</v>
      </c>
      <c r="F283" s="289">
        <f t="shared" si="8"/>
        <v>-325.16289458347603</v>
      </c>
      <c r="G283" s="79">
        <f t="shared" si="9"/>
        <v>-0.38709868402794767</v>
      </c>
    </row>
    <row r="284" spans="1:7" s="140" customFormat="1">
      <c r="A284" s="40" t="s">
        <v>67</v>
      </c>
      <c r="B284" s="74">
        <v>-100.54391043423701</v>
      </c>
      <c r="C284" s="75">
        <v>16.431099694264201</v>
      </c>
      <c r="D284" s="76">
        <v>569.40208222717104</v>
      </c>
      <c r="E284" s="77">
        <v>73.045191151271098</v>
      </c>
      <c r="F284" s="289">
        <f t="shared" si="8"/>
        <v>-669.94599266140801</v>
      </c>
      <c r="G284" s="79">
        <f t="shared" si="9"/>
        <v>-0.7975547531683429</v>
      </c>
    </row>
    <row r="285" spans="1:7" s="140" customFormat="1">
      <c r="A285" s="40" t="s">
        <v>73</v>
      </c>
      <c r="B285" s="74">
        <v>-160.941730453486</v>
      </c>
      <c r="C285" s="75">
        <v>75.532291653248805</v>
      </c>
      <c r="D285" s="76">
        <v>78.734855331725996</v>
      </c>
      <c r="E285" s="77">
        <v>71.427621076627702</v>
      </c>
      <c r="F285" s="289">
        <f t="shared" si="8"/>
        <v>-239.67658578521201</v>
      </c>
      <c r="G285" s="79">
        <f t="shared" si="9"/>
        <v>-0.28532926879191906</v>
      </c>
    </row>
    <row r="286" spans="1:7" s="140" customFormat="1">
      <c r="A286" s="40" t="s">
        <v>79</v>
      </c>
      <c r="B286" s="74">
        <v>-60.914387210979399</v>
      </c>
      <c r="C286" s="75">
        <v>138.52161193296701</v>
      </c>
      <c r="D286" s="76">
        <v>-312.74744460452399</v>
      </c>
      <c r="E286" s="77">
        <v>92.992860881470904</v>
      </c>
      <c r="F286" s="289">
        <f t="shared" si="8"/>
        <v>251.83305739354461</v>
      </c>
      <c r="G286" s="79">
        <f t="shared" si="9"/>
        <v>0.29980125880183883</v>
      </c>
    </row>
    <row r="287" spans="1:7" s="140" customFormat="1" ht="15.75" thickBot="1">
      <c r="A287" s="57" t="s">
        <v>85</v>
      </c>
      <c r="B287" s="81">
        <v>-112.016150445561</v>
      </c>
      <c r="C287" s="82">
        <v>46.790748582350098</v>
      </c>
      <c r="D287" s="83">
        <v>287.286290090531</v>
      </c>
      <c r="E287" s="84">
        <v>69.347419798523504</v>
      </c>
      <c r="F287" s="290">
        <f t="shared" si="8"/>
        <v>-399.30244053609198</v>
      </c>
      <c r="G287" s="86">
        <f t="shared" si="9"/>
        <v>-0.47536004825725237</v>
      </c>
    </row>
    <row r="288" spans="1:7" s="140" customFormat="1">
      <c r="A288" s="37" t="s">
        <v>57</v>
      </c>
      <c r="B288" s="87">
        <v>-138.14375820756001</v>
      </c>
      <c r="C288" s="88">
        <v>25.287502414530199</v>
      </c>
      <c r="D288" s="89">
        <v>590.95767725631595</v>
      </c>
      <c r="E288" s="90">
        <v>98.280765707956405</v>
      </c>
      <c r="F288" s="288">
        <f t="shared" si="8"/>
        <v>-729.10143546387599</v>
      </c>
      <c r="G288" s="91">
        <f t="shared" ref="G288:G293" si="10">F288/(4*840)</f>
        <v>-0.21699447484043929</v>
      </c>
    </row>
    <row r="289" spans="1:9">
      <c r="A289" s="40" t="s">
        <v>63</v>
      </c>
      <c r="B289" s="74">
        <v>857.08001802489196</v>
      </c>
      <c r="C289" s="75">
        <v>66.927800408763403</v>
      </c>
      <c r="D289" s="76">
        <v>835.415576897562</v>
      </c>
      <c r="E289" s="77">
        <v>97.710966618800498</v>
      </c>
      <c r="F289" s="289">
        <f t="shared" si="8"/>
        <v>21.664441127329951</v>
      </c>
      <c r="G289" s="79">
        <f t="shared" si="10"/>
        <v>6.4477503355148662E-3</v>
      </c>
    </row>
    <row r="290" spans="1:9">
      <c r="A290" s="40" t="s">
        <v>69</v>
      </c>
      <c r="B290" s="74">
        <v>-345.27126801013901</v>
      </c>
      <c r="C290" s="75">
        <v>48.379562389096698</v>
      </c>
      <c r="D290" s="76">
        <v>836.23464296758198</v>
      </c>
      <c r="E290" s="77">
        <v>59.003698834617701</v>
      </c>
      <c r="F290" s="289">
        <f t="shared" si="8"/>
        <v>-1181.505910977721</v>
      </c>
      <c r="G290" s="79">
        <f t="shared" si="10"/>
        <v>-0.35163866398146459</v>
      </c>
    </row>
    <row r="291" spans="1:9">
      <c r="A291" s="40" t="s">
        <v>75</v>
      </c>
      <c r="B291" s="74">
        <v>923.60511785745598</v>
      </c>
      <c r="C291" s="75">
        <v>35.635947008370302</v>
      </c>
      <c r="D291" s="76">
        <v>1020.21032077819</v>
      </c>
      <c r="E291" s="77">
        <v>209.10939869502701</v>
      </c>
      <c r="F291" s="289">
        <f t="shared" si="8"/>
        <v>-96.605202920733973</v>
      </c>
      <c r="G291" s="79">
        <f t="shared" si="10"/>
        <v>-2.8751548488313683E-2</v>
      </c>
    </row>
    <row r="292" spans="1:9">
      <c r="A292" s="40" t="s">
        <v>81</v>
      </c>
      <c r="B292" s="74">
        <v>706.33398538082804</v>
      </c>
      <c r="C292" s="75">
        <v>55.736448757655403</v>
      </c>
      <c r="D292" s="76">
        <v>468.91673755102499</v>
      </c>
      <c r="E292" s="77">
        <v>244.17752311301101</v>
      </c>
      <c r="F292" s="289">
        <f t="shared" si="8"/>
        <v>237.41724782980305</v>
      </c>
      <c r="G292" s="79">
        <f t="shared" si="10"/>
        <v>7.0659895187441382E-2</v>
      </c>
    </row>
    <row r="293" spans="1:9" ht="15.75" thickBot="1">
      <c r="A293" s="57" t="s">
        <v>87</v>
      </c>
      <c r="B293" s="81">
        <v>-470.08975988626503</v>
      </c>
      <c r="C293" s="82">
        <v>54.0443223700725</v>
      </c>
      <c r="D293" s="83">
        <v>-147.206868596665</v>
      </c>
      <c r="E293" s="84">
        <v>203.430492956591</v>
      </c>
      <c r="F293" s="290">
        <f t="shared" si="8"/>
        <v>-322.88289128960002</v>
      </c>
      <c r="G293" s="86">
        <f t="shared" si="10"/>
        <v>-9.6096098598095245E-2</v>
      </c>
    </row>
    <row r="294" spans="1:9" s="140" customFormat="1">
      <c r="A294" s="43"/>
      <c r="B294" s="332"/>
      <c r="C294" s="332"/>
      <c r="D294" s="80"/>
      <c r="E294" s="80"/>
      <c r="F294" s="80"/>
      <c r="G294" s="15"/>
    </row>
    <row r="295" spans="1:9" s="140" customFormat="1">
      <c r="A295" s="43"/>
      <c r="B295" s="332"/>
      <c r="C295" s="332"/>
      <c r="D295" s="80"/>
      <c r="E295" s="80"/>
      <c r="F295" s="80"/>
      <c r="G295" s="15"/>
    </row>
    <row r="296" spans="1:9" ht="15.75" thickBot="1">
      <c r="A296" s="140" t="s">
        <v>361</v>
      </c>
      <c r="D296" s="510" t="s">
        <v>148</v>
      </c>
      <c r="E296" s="510"/>
      <c r="F296" s="510"/>
      <c r="G296" s="510"/>
      <c r="H296" s="510"/>
      <c r="I296" s="510"/>
    </row>
    <row r="297" spans="1:9">
      <c r="D297" s="209" t="s">
        <v>55</v>
      </c>
      <c r="E297" s="210" t="s">
        <v>61</v>
      </c>
      <c r="F297" s="211" t="s">
        <v>67</v>
      </c>
      <c r="G297" s="209" t="s">
        <v>73</v>
      </c>
      <c r="H297" s="210" t="s">
        <v>79</v>
      </c>
      <c r="I297" s="212" t="s">
        <v>85</v>
      </c>
    </row>
    <row r="298" spans="1:9">
      <c r="B298" s="484" t="s">
        <v>225</v>
      </c>
      <c r="C298" s="22" t="s">
        <v>55</v>
      </c>
      <c r="D298" s="213">
        <v>3836.2425800000001</v>
      </c>
      <c r="E298" s="166">
        <v>1536.710687</v>
      </c>
      <c r="F298" s="214">
        <v>1534.7291399999999</v>
      </c>
      <c r="G298" s="169">
        <v>19.2029204</v>
      </c>
      <c r="H298" s="166">
        <v>-8.1176799999998899</v>
      </c>
      <c r="I298" s="167">
        <v>-9.3373999999997803</v>
      </c>
    </row>
    <row r="299" spans="1:9">
      <c r="B299" s="484"/>
      <c r="C299" s="25" t="s">
        <v>61</v>
      </c>
      <c r="D299" s="175">
        <v>1519.0841800000001</v>
      </c>
      <c r="E299" s="215">
        <v>3756.4486870000001</v>
      </c>
      <c r="F299" s="216">
        <v>1509.00494</v>
      </c>
      <c r="G299" s="175">
        <v>-0.35736991999999601</v>
      </c>
      <c r="H299" s="172">
        <v>15.337240000000101</v>
      </c>
      <c r="I299" s="173">
        <v>-4.2656599999999703</v>
      </c>
    </row>
    <row r="300" spans="1:9">
      <c r="B300" s="484"/>
      <c r="C300" s="30" t="s">
        <v>67</v>
      </c>
      <c r="D300" s="181">
        <v>1517.10778</v>
      </c>
      <c r="E300" s="178">
        <v>1515.1596870000001</v>
      </c>
      <c r="F300" s="217">
        <v>3756.02234</v>
      </c>
      <c r="G300" s="181">
        <v>2.4476931999999998</v>
      </c>
      <c r="H300" s="178">
        <v>-4.8505799999998098</v>
      </c>
      <c r="I300" s="179">
        <v>12.663900000000099</v>
      </c>
    </row>
    <row r="301" spans="1:9">
      <c r="B301" s="484"/>
      <c r="C301" s="33" t="s">
        <v>73</v>
      </c>
      <c r="D301" s="218">
        <v>58.794340000000197</v>
      </c>
      <c r="E301" s="219">
        <v>-129.72713300000001</v>
      </c>
      <c r="F301" s="220">
        <v>87.009239999999807</v>
      </c>
      <c r="G301" s="221">
        <v>2892.0887824000001</v>
      </c>
      <c r="H301" s="219">
        <v>-495.98766000000001</v>
      </c>
      <c r="I301" s="222">
        <v>-468.28615200000002</v>
      </c>
    </row>
    <row r="302" spans="1:9">
      <c r="B302" s="484"/>
      <c r="C302" s="25" t="s">
        <v>79</v>
      </c>
      <c r="D302" s="175">
        <v>77.750900000000101</v>
      </c>
      <c r="E302" s="172">
        <v>29.842158320599999</v>
      </c>
      <c r="F302" s="216">
        <v>-143.94576000000001</v>
      </c>
      <c r="G302" s="175">
        <v>-479.49233759999998</v>
      </c>
      <c r="H302" s="215">
        <v>2909.3199399999999</v>
      </c>
      <c r="I302" s="173">
        <v>-499.69490000000002</v>
      </c>
    </row>
    <row r="303" spans="1:9">
      <c r="B303" s="484"/>
      <c r="C303" s="30" t="s">
        <v>85</v>
      </c>
      <c r="D303" s="181">
        <v>-145.57339999999999</v>
      </c>
      <c r="E303" s="178">
        <v>79.475375</v>
      </c>
      <c r="F303" s="223">
        <v>15.95656</v>
      </c>
      <c r="G303" s="181">
        <v>-505.76811759999998</v>
      </c>
      <c r="H303" s="178">
        <v>-467.40156000000002</v>
      </c>
      <c r="I303" s="224">
        <v>2917.8108999999999</v>
      </c>
    </row>
    <row r="304" spans="1:9">
      <c r="B304" s="18"/>
      <c r="C304" s="208"/>
      <c r="D304" s="225"/>
      <c r="E304" s="225"/>
      <c r="F304" s="225"/>
      <c r="G304" s="225"/>
      <c r="H304" s="225"/>
      <c r="I304" s="225"/>
    </row>
    <row r="305" spans="1:9">
      <c r="D305" s="225"/>
      <c r="E305" s="225"/>
      <c r="F305" s="225"/>
      <c r="G305" s="225"/>
      <c r="H305" s="225"/>
      <c r="I305" s="225"/>
    </row>
    <row r="306" spans="1:9">
      <c r="D306" s="510" t="s">
        <v>148</v>
      </c>
      <c r="E306" s="510"/>
      <c r="F306" s="510"/>
      <c r="G306" s="510"/>
      <c r="H306" s="510"/>
      <c r="I306" s="510"/>
    </row>
    <row r="307" spans="1:9">
      <c r="D307" s="160" t="s">
        <v>57</v>
      </c>
      <c r="E307" s="161" t="s">
        <v>63</v>
      </c>
      <c r="F307" s="226" t="s">
        <v>69</v>
      </c>
      <c r="G307" s="160" t="s">
        <v>75</v>
      </c>
      <c r="H307" s="161" t="s">
        <v>81</v>
      </c>
      <c r="I307" s="162" t="s">
        <v>87</v>
      </c>
    </row>
    <row r="308" spans="1:9">
      <c r="B308" s="484" t="s">
        <v>225</v>
      </c>
      <c r="C308" s="22" t="s">
        <v>57</v>
      </c>
      <c r="D308" s="213">
        <v>2145.6684599999999</v>
      </c>
      <c r="E308" s="166">
        <v>317.82814000000002</v>
      </c>
      <c r="F308" s="214">
        <v>323.30287999999899</v>
      </c>
      <c r="G308" s="169">
        <v>-26.904399999999701</v>
      </c>
      <c r="H308" s="166">
        <v>-17.2833800000002</v>
      </c>
      <c r="I308" s="167">
        <v>-16.746551140000001</v>
      </c>
    </row>
    <row r="309" spans="1:9">
      <c r="B309" s="484"/>
      <c r="C309" s="25" t="s">
        <v>63</v>
      </c>
      <c r="D309" s="175">
        <v>321.39004</v>
      </c>
      <c r="E309" s="215">
        <v>2146.8099400000001</v>
      </c>
      <c r="F309" s="216">
        <v>318.31488000000002</v>
      </c>
      <c r="G309" s="175">
        <v>-18.935879999999901</v>
      </c>
      <c r="H309" s="172">
        <v>-13.4733600000003</v>
      </c>
      <c r="I309" s="173">
        <v>-26.708582740000001</v>
      </c>
    </row>
    <row r="310" spans="1:9">
      <c r="B310" s="484"/>
      <c r="C310" s="30" t="s">
        <v>69</v>
      </c>
      <c r="D310" s="181">
        <v>337.61142000000001</v>
      </c>
      <c r="E310" s="178">
        <v>333.10253999999998</v>
      </c>
      <c r="F310" s="217">
        <v>2237.22768</v>
      </c>
      <c r="G310" s="181">
        <v>-20.236419999999502</v>
      </c>
      <c r="H310" s="178">
        <v>23.905360000000002</v>
      </c>
      <c r="I310" s="179">
        <v>-6.9298547399999997</v>
      </c>
    </row>
    <row r="311" spans="1:9">
      <c r="B311" s="484"/>
      <c r="C311" s="33" t="s">
        <v>75</v>
      </c>
      <c r="D311" s="218">
        <v>61.941539999999897</v>
      </c>
      <c r="E311" s="219">
        <v>109.75673999999999</v>
      </c>
      <c r="F311" s="220">
        <v>-174.0402</v>
      </c>
      <c r="G311" s="221">
        <v>2609.17832</v>
      </c>
      <c r="H311" s="219">
        <v>369.97214000000002</v>
      </c>
      <c r="I311" s="222">
        <v>3.9190760599999899</v>
      </c>
    </row>
    <row r="312" spans="1:9">
      <c r="B312" s="484"/>
      <c r="C312" s="25" t="s">
        <v>81</v>
      </c>
      <c r="D312" s="175">
        <v>-184.005</v>
      </c>
      <c r="E312" s="172">
        <v>58.929040000000001</v>
      </c>
      <c r="F312" s="216">
        <v>88.560540000000103</v>
      </c>
      <c r="G312" s="175">
        <v>10.12738</v>
      </c>
      <c r="H312" s="215">
        <v>2606.2891399999999</v>
      </c>
      <c r="I312" s="173">
        <v>303.25426406000003</v>
      </c>
    </row>
    <row r="313" spans="1:9">
      <c r="B313" s="484"/>
      <c r="C313" s="30" t="s">
        <v>87</v>
      </c>
      <c r="D313" s="181">
        <v>105.59614000000001</v>
      </c>
      <c r="E313" s="178">
        <v>-178.26616000000001</v>
      </c>
      <c r="F313" s="223">
        <v>61.137979999999899</v>
      </c>
      <c r="G313" s="181">
        <v>298.86471999999998</v>
      </c>
      <c r="H313" s="178">
        <v>24.7071199999999</v>
      </c>
      <c r="I313" s="224">
        <v>2584.69095406</v>
      </c>
    </row>
    <row r="315" spans="1:9">
      <c r="A315" s="42" t="s">
        <v>227</v>
      </c>
    </row>
    <row r="316" spans="1:9">
      <c r="A316" s="140" t="s">
        <v>362</v>
      </c>
      <c r="C316" s="227"/>
      <c r="D316" s="113" t="s">
        <v>228</v>
      </c>
      <c r="E316" s="163" t="s">
        <v>229</v>
      </c>
      <c r="F316" s="113" t="s">
        <v>230</v>
      </c>
      <c r="G316" s="163" t="s">
        <v>363</v>
      </c>
      <c r="H316" s="113" t="s">
        <v>231</v>
      </c>
      <c r="I316" s="114" t="s">
        <v>232</v>
      </c>
    </row>
    <row r="317" spans="1:9">
      <c r="B317" s="484" t="s">
        <v>225</v>
      </c>
      <c r="C317" s="164" t="s">
        <v>228</v>
      </c>
      <c r="D317" s="228">
        <v>1522.9320748</v>
      </c>
      <c r="E317" s="168">
        <v>1.9772999999998999</v>
      </c>
      <c r="F317" s="72">
        <v>-7.1407058000000001</v>
      </c>
      <c r="G317" s="168">
        <v>-12.229186</v>
      </c>
      <c r="H317" s="72">
        <v>-6.8931999999999203</v>
      </c>
      <c r="I317" s="119">
        <v>30.98518</v>
      </c>
    </row>
    <row r="318" spans="1:9">
      <c r="B318" s="484"/>
      <c r="C318" s="170" t="s">
        <v>229</v>
      </c>
      <c r="D318" s="78">
        <v>-7.4660798599999998</v>
      </c>
      <c r="E318" s="229">
        <v>1505.6627000000001</v>
      </c>
      <c r="F318" s="78">
        <v>-24.875414599999999</v>
      </c>
      <c r="G318" s="174">
        <v>11.324112000000101</v>
      </c>
      <c r="H318" s="78">
        <v>-9.3006000000000899</v>
      </c>
      <c r="I318" s="124">
        <v>3.3553799999999701</v>
      </c>
    </row>
    <row r="319" spans="1:9">
      <c r="B319" s="484"/>
      <c r="C319" s="170" t="s">
        <v>230</v>
      </c>
      <c r="D319" s="78">
        <v>26.587818800000001</v>
      </c>
      <c r="E319" s="174">
        <v>-0.73838000000000703</v>
      </c>
      <c r="F319" s="230">
        <v>656.46883079999998</v>
      </c>
      <c r="G319" s="174">
        <v>5.4674840000001099</v>
      </c>
      <c r="H319" s="78">
        <v>4.6722600000000503</v>
      </c>
      <c r="I319" s="124">
        <v>-6.7044799999999896</v>
      </c>
    </row>
    <row r="320" spans="1:9">
      <c r="B320" s="484"/>
      <c r="C320" s="170" t="s">
        <v>233</v>
      </c>
      <c r="D320" s="78">
        <v>5.4513676000000197</v>
      </c>
      <c r="E320" s="231">
        <v>305.02421831999999</v>
      </c>
      <c r="F320" s="78">
        <v>-3.1413799999995697E-2</v>
      </c>
      <c r="G320" s="229">
        <v>2469.0793960000001</v>
      </c>
      <c r="H320" s="78">
        <v>-6.2807400000000397</v>
      </c>
      <c r="I320" s="124">
        <v>-10.266279999999901</v>
      </c>
    </row>
    <row r="321" spans="2:9">
      <c r="B321" s="484"/>
      <c r="C321" s="170" t="s">
        <v>231</v>
      </c>
      <c r="D321" s="232">
        <v>-290.8652452</v>
      </c>
      <c r="E321" s="174">
        <v>18.910499999999999</v>
      </c>
      <c r="F321" s="78">
        <v>-2.4744971039999801</v>
      </c>
      <c r="G321" s="174">
        <v>-0.52794399999994801</v>
      </c>
      <c r="H321" s="230">
        <v>2472.2221399999999</v>
      </c>
      <c r="I321" s="124">
        <v>-8.6027399999998106</v>
      </c>
    </row>
    <row r="322" spans="2:9">
      <c r="B322" s="484"/>
      <c r="C322" s="176" t="s">
        <v>232</v>
      </c>
      <c r="D322" s="85">
        <v>13.725849759999999</v>
      </c>
      <c r="E322" s="180">
        <v>1.77905999999984</v>
      </c>
      <c r="F322" s="85">
        <v>-1.3827525999999899</v>
      </c>
      <c r="G322" s="180">
        <v>1.38413600000003</v>
      </c>
      <c r="H322" s="85">
        <v>-0.46478000000007602</v>
      </c>
      <c r="I322" s="233">
        <v>2884.34238</v>
      </c>
    </row>
    <row r="323" spans="2:9">
      <c r="C323" s="227"/>
      <c r="D323" s="225"/>
      <c r="E323" s="225"/>
      <c r="F323" s="225"/>
      <c r="G323" s="225"/>
      <c r="H323" s="225"/>
      <c r="I323" s="225"/>
    </row>
    <row r="324" spans="2:9">
      <c r="C324" s="227"/>
      <c r="D324" s="225"/>
      <c r="E324" s="225"/>
      <c r="F324" s="225"/>
      <c r="G324" s="225"/>
      <c r="H324" s="225"/>
      <c r="I324" s="225"/>
    </row>
    <row r="325" spans="2:9">
      <c r="C325" s="227"/>
      <c r="D325" s="234" t="s">
        <v>234</v>
      </c>
      <c r="E325" s="113" t="s">
        <v>235</v>
      </c>
      <c r="F325" s="163" t="s">
        <v>236</v>
      </c>
      <c r="G325" s="113" t="s">
        <v>364</v>
      </c>
      <c r="H325" s="163" t="s">
        <v>237</v>
      </c>
      <c r="I325" s="113" t="s">
        <v>238</v>
      </c>
    </row>
    <row r="326" spans="2:9">
      <c r="B326" s="484" t="s">
        <v>225</v>
      </c>
      <c r="C326" s="235" t="s">
        <v>234</v>
      </c>
      <c r="D326" s="236">
        <v>1228.7257024</v>
      </c>
      <c r="E326" s="96">
        <v>-18.737298000000099</v>
      </c>
      <c r="F326" s="237">
        <v>56.869255999999403</v>
      </c>
      <c r="G326" s="96">
        <v>24.694520000000001</v>
      </c>
      <c r="H326" s="237">
        <v>5.0336400000002204</v>
      </c>
      <c r="I326" s="96">
        <v>14.7167199999994</v>
      </c>
    </row>
    <row r="327" spans="2:9">
      <c r="B327" s="484"/>
      <c r="C327" s="238" t="s">
        <v>235</v>
      </c>
      <c r="D327" s="123">
        <v>-0.35774259999998798</v>
      </c>
      <c r="E327" s="230">
        <v>1233.95234</v>
      </c>
      <c r="F327" s="174">
        <v>-26.980700000000098</v>
      </c>
      <c r="G327" s="78">
        <v>6.5184999999998503</v>
      </c>
      <c r="H327" s="174">
        <v>1.2663200000005199</v>
      </c>
      <c r="I327" s="78">
        <v>-41.752300000000702</v>
      </c>
    </row>
    <row r="328" spans="2:9">
      <c r="B328" s="484"/>
      <c r="C328" s="238" t="s">
        <v>236</v>
      </c>
      <c r="D328" s="123">
        <v>9.0590815999999901</v>
      </c>
      <c r="E328" s="78">
        <v>2.97826199999992</v>
      </c>
      <c r="F328" s="229">
        <v>963.84829999999999</v>
      </c>
      <c r="G328" s="78">
        <v>10.2114799999999</v>
      </c>
      <c r="H328" s="174">
        <v>14.62218</v>
      </c>
      <c r="I328" s="78">
        <v>-3.0406400000003901</v>
      </c>
    </row>
    <row r="329" spans="2:9">
      <c r="B329" s="484"/>
      <c r="C329" s="238" t="s">
        <v>239</v>
      </c>
      <c r="D329" s="123">
        <v>2.9139738000000199</v>
      </c>
      <c r="E329" s="232">
        <v>-6.4512200000000401</v>
      </c>
      <c r="F329" s="174">
        <v>-5.4257800000002598</v>
      </c>
      <c r="G329" s="230">
        <v>3754.7697800000001</v>
      </c>
      <c r="H329" s="174">
        <v>-1.37673999999981</v>
      </c>
      <c r="I329" s="78">
        <v>-11.4680800000008</v>
      </c>
    </row>
    <row r="330" spans="2:9">
      <c r="B330" s="484"/>
      <c r="C330" s="238" t="s">
        <v>237</v>
      </c>
      <c r="D330" s="239">
        <v>20.796885199999998</v>
      </c>
      <c r="E330" s="78">
        <v>2.3750540000000102</v>
      </c>
      <c r="F330" s="174">
        <v>-14.634860000000099</v>
      </c>
      <c r="G330" s="78">
        <v>11.35224</v>
      </c>
      <c r="H330" s="229">
        <v>3747.4952199999998</v>
      </c>
      <c r="I330" s="78">
        <v>-1.87388000000078</v>
      </c>
    </row>
    <row r="331" spans="2:9">
      <c r="B331" s="484"/>
      <c r="C331" s="240" t="s">
        <v>238</v>
      </c>
      <c r="D331" s="128">
        <v>12.431065</v>
      </c>
      <c r="E331" s="85">
        <v>-32.597999999999999</v>
      </c>
      <c r="F331" s="180">
        <v>-26.820240000000201</v>
      </c>
      <c r="G331" s="85">
        <v>-4.9579600000001296</v>
      </c>
      <c r="H331" s="180">
        <v>15.8083000000006</v>
      </c>
      <c r="I331" s="241">
        <v>2340.9977199999998</v>
      </c>
    </row>
    <row r="333" spans="2:9">
      <c r="D333" s="510" t="s">
        <v>148</v>
      </c>
      <c r="E333" s="510"/>
      <c r="F333" s="510"/>
      <c r="G333" s="510"/>
      <c r="H333" s="510"/>
      <c r="I333" s="510"/>
    </row>
    <row r="334" spans="2:9">
      <c r="C334" s="227"/>
      <c r="D334" s="132" t="s">
        <v>55</v>
      </c>
      <c r="E334" s="21" t="s">
        <v>61</v>
      </c>
      <c r="F334" s="133" t="s">
        <v>67</v>
      </c>
      <c r="G334" s="196" t="s">
        <v>73</v>
      </c>
      <c r="H334" s="21" t="s">
        <v>79</v>
      </c>
      <c r="I334" s="133" t="s">
        <v>85</v>
      </c>
    </row>
    <row r="335" spans="2:9">
      <c r="B335" s="484" t="s">
        <v>225</v>
      </c>
      <c r="C335" s="164" t="s">
        <v>228</v>
      </c>
      <c r="D335" s="118">
        <v>1548.0186200000001</v>
      </c>
      <c r="E335" s="72">
        <v>-730.41743610000003</v>
      </c>
      <c r="F335" s="119">
        <v>-736.05592000000001</v>
      </c>
      <c r="G335" s="168">
        <v>27.559878999999999</v>
      </c>
      <c r="H335" s="72">
        <v>-0.65735999999998296</v>
      </c>
      <c r="I335" s="119">
        <v>-7.32258000000013</v>
      </c>
    </row>
    <row r="336" spans="2:9">
      <c r="B336" s="484"/>
      <c r="C336" s="170" t="s">
        <v>229</v>
      </c>
      <c r="D336" s="123">
        <v>-25.154151999999801</v>
      </c>
      <c r="E336" s="78">
        <v>1298.1793439</v>
      </c>
      <c r="F336" s="124">
        <v>-1271.8197</v>
      </c>
      <c r="G336" s="174">
        <v>12.2488548</v>
      </c>
      <c r="H336" s="78">
        <v>18.872200000000099</v>
      </c>
      <c r="I336" s="124">
        <v>-0.48838000000012</v>
      </c>
    </row>
    <row r="337" spans="2:9">
      <c r="B337" s="484"/>
      <c r="C337" s="170" t="s">
        <v>230</v>
      </c>
      <c r="D337" s="123">
        <v>-47.697931999999803</v>
      </c>
      <c r="E337" s="78">
        <v>-6.8932966200000001</v>
      </c>
      <c r="F337" s="124">
        <v>-22.621459999999701</v>
      </c>
      <c r="G337" s="174">
        <v>648.59371999999996</v>
      </c>
      <c r="H337" s="78">
        <v>657.45339999999999</v>
      </c>
      <c r="I337" s="124">
        <v>656.97313999999994</v>
      </c>
    </row>
    <row r="338" spans="2:9">
      <c r="B338" s="484"/>
      <c r="C338" s="170" t="s">
        <v>233</v>
      </c>
      <c r="D338" s="123">
        <v>-17.084919999999901</v>
      </c>
      <c r="E338" s="78">
        <v>127.4244599</v>
      </c>
      <c r="F338" s="124">
        <v>-145.61222000000001</v>
      </c>
      <c r="G338" s="174">
        <v>-2367.1164199999998</v>
      </c>
      <c r="H338" s="78">
        <v>2015.1640400000001</v>
      </c>
      <c r="I338" s="124">
        <v>369.41090000000003</v>
      </c>
    </row>
    <row r="339" spans="2:9">
      <c r="B339" s="484"/>
      <c r="C339" s="170" t="s">
        <v>231</v>
      </c>
      <c r="D339" s="123">
        <v>-180.72921919999999</v>
      </c>
      <c r="E339" s="78">
        <v>78.337531900000002</v>
      </c>
      <c r="F339" s="124">
        <v>58.042119999999997</v>
      </c>
      <c r="G339" s="174">
        <v>-936.46753999999999</v>
      </c>
      <c r="H339" s="78">
        <v>-1580.21236</v>
      </c>
      <c r="I339" s="124">
        <v>2541.0494800000001</v>
      </c>
    </row>
    <row r="340" spans="2:9">
      <c r="B340" s="484"/>
      <c r="C340" s="176" t="s">
        <v>232</v>
      </c>
      <c r="D340" s="128">
        <v>2786.7548200000001</v>
      </c>
      <c r="E340" s="85">
        <v>2757.6193438999999</v>
      </c>
      <c r="F340" s="129">
        <v>2763.5365400000001</v>
      </c>
      <c r="G340" s="180">
        <v>4.6076812</v>
      </c>
      <c r="H340" s="85">
        <v>-3.6263199999999598</v>
      </c>
      <c r="I340" s="129">
        <v>-5.2720400000001799</v>
      </c>
    </row>
    <row r="341" spans="2:9">
      <c r="C341" s="227"/>
      <c r="D341" s="225"/>
      <c r="E341" s="225"/>
      <c r="F341" s="225"/>
      <c r="G341" s="225"/>
      <c r="H341" s="225"/>
      <c r="I341" s="225"/>
    </row>
    <row r="342" spans="2:9">
      <c r="C342" s="227"/>
      <c r="D342" s="510" t="s">
        <v>148</v>
      </c>
      <c r="E342" s="510"/>
      <c r="F342" s="510"/>
      <c r="G342" s="510"/>
      <c r="H342" s="510"/>
      <c r="I342" s="510"/>
    </row>
    <row r="343" spans="2:9">
      <c r="C343" s="227"/>
      <c r="D343" s="242" t="s">
        <v>57</v>
      </c>
      <c r="E343" s="243" t="s">
        <v>63</v>
      </c>
      <c r="F343" s="244" t="s">
        <v>69</v>
      </c>
      <c r="G343" s="242" t="s">
        <v>75</v>
      </c>
      <c r="H343" s="243" t="s">
        <v>81</v>
      </c>
      <c r="I343" s="245" t="s">
        <v>87</v>
      </c>
    </row>
    <row r="344" spans="2:9">
      <c r="B344" s="484" t="s">
        <v>225</v>
      </c>
      <c r="C344" s="164" t="s">
        <v>234</v>
      </c>
      <c r="D344" s="118">
        <v>616.7627</v>
      </c>
      <c r="E344" s="72">
        <v>-1210.9607599999999</v>
      </c>
      <c r="F344" s="119">
        <v>630.11973999999998</v>
      </c>
      <c r="G344" s="168">
        <v>-35.6040599999994</v>
      </c>
      <c r="H344" s="72">
        <v>-0.75188000000025601</v>
      </c>
      <c r="I344" s="119">
        <v>23.247064200000001</v>
      </c>
    </row>
    <row r="345" spans="2:9">
      <c r="B345" s="484"/>
      <c r="C345" s="170" t="s">
        <v>235</v>
      </c>
      <c r="D345" s="123">
        <v>1055.6074799999999</v>
      </c>
      <c r="E345" s="78">
        <v>0.96913999999969802</v>
      </c>
      <c r="F345" s="124">
        <v>-1082.5165</v>
      </c>
      <c r="G345" s="174">
        <v>-15.3823400000005</v>
      </c>
      <c r="H345" s="78">
        <v>8.0785399999996894</v>
      </c>
      <c r="I345" s="124">
        <v>13.401471600000001</v>
      </c>
    </row>
    <row r="346" spans="2:9">
      <c r="B346" s="484"/>
      <c r="C346" s="170" t="s">
        <v>236</v>
      </c>
      <c r="D346" s="123">
        <v>6.3388800000001302</v>
      </c>
      <c r="E346" s="78">
        <v>7.5377999999999501</v>
      </c>
      <c r="F346" s="124">
        <v>4.1295200000000696</v>
      </c>
      <c r="G346" s="174">
        <v>948.469120000001</v>
      </c>
      <c r="H346" s="78">
        <v>979.01275999999996</v>
      </c>
      <c r="I346" s="124">
        <v>971.97983620000002</v>
      </c>
    </row>
    <row r="347" spans="2:9">
      <c r="B347" s="484"/>
      <c r="C347" s="170" t="s">
        <v>239</v>
      </c>
      <c r="D347" s="123">
        <v>-246.56870000000001</v>
      </c>
      <c r="E347" s="78">
        <v>-2.7122200000002299</v>
      </c>
      <c r="F347" s="124">
        <v>237.74200000000101</v>
      </c>
      <c r="G347" s="174">
        <v>-2197.7529199999999</v>
      </c>
      <c r="H347" s="78">
        <v>2226.96756</v>
      </c>
      <c r="I347" s="124">
        <v>-38.285565800000001</v>
      </c>
    </row>
    <row r="348" spans="2:9">
      <c r="B348" s="484"/>
      <c r="C348" s="170" t="s">
        <v>237</v>
      </c>
      <c r="D348" s="123">
        <v>144.77392</v>
      </c>
      <c r="E348" s="78">
        <v>-268.14517999999998</v>
      </c>
      <c r="F348" s="124">
        <v>151.72613999999999</v>
      </c>
      <c r="G348" s="174">
        <v>-1340.64678</v>
      </c>
      <c r="H348" s="78">
        <v>-1210.6724200000001</v>
      </c>
      <c r="I348" s="124">
        <v>2546.2988562</v>
      </c>
    </row>
    <row r="349" spans="2:9">
      <c r="B349" s="484"/>
      <c r="C349" s="176" t="s">
        <v>238</v>
      </c>
      <c r="D349" s="128">
        <v>1612.08628</v>
      </c>
      <c r="E349" s="85">
        <v>1612.86438</v>
      </c>
      <c r="F349" s="129">
        <v>1661.45454</v>
      </c>
      <c r="G349" s="180">
        <v>-18.266780000000001</v>
      </c>
      <c r="H349" s="85">
        <v>17.8137599999997</v>
      </c>
      <c r="I349" s="129">
        <v>21.481626800000001</v>
      </c>
    </row>
    <row r="354" spans="1:6">
      <c r="A354" s="42" t="s">
        <v>365</v>
      </c>
      <c r="B354" s="140" t="s">
        <v>366</v>
      </c>
    </row>
    <row r="356" spans="1:6">
      <c r="A356" s="64" t="s">
        <v>157</v>
      </c>
      <c r="B356" s="111" t="s">
        <v>158</v>
      </c>
      <c r="C356" s="64" t="s">
        <v>159</v>
      </c>
      <c r="D356" s="112" t="s">
        <v>160</v>
      </c>
      <c r="E356" s="113" t="s">
        <v>161</v>
      </c>
      <c r="F356" s="114" t="s">
        <v>151</v>
      </c>
    </row>
    <row r="357" spans="1:6">
      <c r="A357" s="33" t="s">
        <v>55</v>
      </c>
      <c r="B357" s="116">
        <v>-15865.252</v>
      </c>
      <c r="C357" s="117">
        <v>357</v>
      </c>
      <c r="D357" s="118">
        <v>16290.242</v>
      </c>
      <c r="E357" s="72">
        <f t="shared" ref="E357:E368" si="11">D357-B357</f>
        <v>32155.493999999999</v>
      </c>
      <c r="F357" s="312">
        <f t="shared" ref="F357:F362" si="12">E357/840</f>
        <v>38.280349999999999</v>
      </c>
    </row>
    <row r="358" spans="1:6">
      <c r="A358" s="25" t="s">
        <v>61</v>
      </c>
      <c r="B358" s="121">
        <v>-16123.448</v>
      </c>
      <c r="C358" s="122">
        <v>21</v>
      </c>
      <c r="D358" s="123">
        <v>15848.596</v>
      </c>
      <c r="E358" s="78">
        <f t="shared" si="11"/>
        <v>31972.044000000002</v>
      </c>
      <c r="F358" s="313">
        <f t="shared" si="12"/>
        <v>38.061957142857146</v>
      </c>
    </row>
    <row r="359" spans="1:6">
      <c r="A359" s="25" t="s">
        <v>67</v>
      </c>
      <c r="B359" s="121">
        <v>-15595.781999999999</v>
      </c>
      <c r="C359" s="122">
        <v>562</v>
      </c>
      <c r="D359" s="123">
        <v>15303.954</v>
      </c>
      <c r="E359" s="78">
        <f t="shared" si="11"/>
        <v>30899.735999999997</v>
      </c>
      <c r="F359" s="313">
        <f t="shared" si="12"/>
        <v>36.785399999999996</v>
      </c>
    </row>
    <row r="360" spans="1:6">
      <c r="A360" s="25" t="s">
        <v>73</v>
      </c>
      <c r="B360" s="121">
        <v>-12524.706</v>
      </c>
      <c r="C360" s="122">
        <v>-30</v>
      </c>
      <c r="D360" s="123">
        <v>12482.593999999999</v>
      </c>
      <c r="E360" s="78">
        <f t="shared" si="11"/>
        <v>25007.3</v>
      </c>
      <c r="F360" s="313">
        <f t="shared" si="12"/>
        <v>29.770595238095236</v>
      </c>
    </row>
    <row r="361" spans="1:6">
      <c r="A361" s="25" t="s">
        <v>79</v>
      </c>
      <c r="B361" s="121">
        <v>-12792.768</v>
      </c>
      <c r="C361" s="122">
        <v>-354</v>
      </c>
      <c r="D361" s="123">
        <v>12069.422</v>
      </c>
      <c r="E361" s="78">
        <f t="shared" si="11"/>
        <v>24862.190000000002</v>
      </c>
      <c r="F361" s="313">
        <f t="shared" si="12"/>
        <v>29.597845238095243</v>
      </c>
    </row>
    <row r="362" spans="1:6">
      <c r="A362" s="25" t="s">
        <v>85</v>
      </c>
      <c r="B362" s="121">
        <v>-12064.468000000001</v>
      </c>
      <c r="C362" s="122">
        <v>321</v>
      </c>
      <c r="D362" s="123">
        <v>12667.593999999999</v>
      </c>
      <c r="E362" s="78">
        <f t="shared" si="11"/>
        <v>24732.061999999998</v>
      </c>
      <c r="F362" s="313">
        <f t="shared" si="12"/>
        <v>29.442930952380951</v>
      </c>
    </row>
    <row r="363" spans="1:6">
      <c r="A363" s="25" t="s">
        <v>57</v>
      </c>
      <c r="B363" s="121">
        <v>-8793.5532000000003</v>
      </c>
      <c r="C363" s="122">
        <v>539</v>
      </c>
      <c r="D363" s="123">
        <v>9846.2875999999997</v>
      </c>
      <c r="E363" s="78">
        <f t="shared" si="11"/>
        <v>18639.840799999998</v>
      </c>
      <c r="F363" s="313">
        <f t="shared" ref="F363:F368" si="13">E363/(4*840)</f>
        <v>5.5475716666666663</v>
      </c>
    </row>
    <row r="364" spans="1:6">
      <c r="A364" s="25" t="s">
        <v>63</v>
      </c>
      <c r="B364" s="121">
        <v>-8511.8832000000002</v>
      </c>
      <c r="C364" s="122">
        <v>814</v>
      </c>
      <c r="D364" s="123">
        <v>10166.036</v>
      </c>
      <c r="E364" s="78">
        <f t="shared" si="11"/>
        <v>18677.9192</v>
      </c>
      <c r="F364" s="313">
        <f t="shared" si="13"/>
        <v>5.5589045238095238</v>
      </c>
    </row>
    <row r="365" spans="1:6">
      <c r="A365" s="25" t="s">
        <v>69</v>
      </c>
      <c r="B365" s="121">
        <v>-8430.9066000000003</v>
      </c>
      <c r="C365" s="122">
        <v>800</v>
      </c>
      <c r="D365" s="123">
        <v>10025.493399999999</v>
      </c>
      <c r="E365" s="78">
        <f t="shared" si="11"/>
        <v>18456.400000000001</v>
      </c>
      <c r="F365" s="313">
        <f t="shared" si="13"/>
        <v>5.4929761904761909</v>
      </c>
    </row>
    <row r="366" spans="1:6">
      <c r="A366" s="25" t="s">
        <v>75</v>
      </c>
      <c r="B366" s="121">
        <v>-10134.7426</v>
      </c>
      <c r="C366" s="122">
        <v>983</v>
      </c>
      <c r="D366" s="123">
        <v>12128.332</v>
      </c>
      <c r="E366" s="78">
        <f t="shared" si="11"/>
        <v>22263.0746</v>
      </c>
      <c r="F366" s="313">
        <f t="shared" si="13"/>
        <v>6.6259150595238099</v>
      </c>
    </row>
    <row r="367" spans="1:6">
      <c r="A367" s="25" t="s">
        <v>81</v>
      </c>
      <c r="B367" s="121">
        <v>-10512.31</v>
      </c>
      <c r="C367" s="122">
        <v>512</v>
      </c>
      <c r="D367" s="123">
        <v>11491.758</v>
      </c>
      <c r="E367" s="78">
        <f t="shared" si="11"/>
        <v>22004.067999999999</v>
      </c>
      <c r="F367" s="313">
        <f t="shared" si="13"/>
        <v>6.548829761904762</v>
      </c>
    </row>
    <row r="368" spans="1:6">
      <c r="A368" s="30" t="s">
        <v>87</v>
      </c>
      <c r="B368" s="126">
        <v>-11251.53</v>
      </c>
      <c r="C368" s="127">
        <v>-95</v>
      </c>
      <c r="D368" s="128">
        <v>11035.325999999999</v>
      </c>
      <c r="E368" s="85">
        <f t="shared" si="11"/>
        <v>22286.856</v>
      </c>
      <c r="F368" s="314">
        <f t="shared" si="13"/>
        <v>6.6329928571428569</v>
      </c>
    </row>
    <row r="371" spans="1:4">
      <c r="A371" s="42" t="s">
        <v>367</v>
      </c>
      <c r="B371" s="140" t="s">
        <v>368</v>
      </c>
    </row>
    <row r="372" spans="1:4" ht="18">
      <c r="A372" s="315"/>
      <c r="B372" s="487" t="s">
        <v>369</v>
      </c>
      <c r="C372" s="487"/>
      <c r="D372" s="487"/>
    </row>
    <row r="373" spans="1:4">
      <c r="A373" s="64" t="s">
        <v>148</v>
      </c>
      <c r="B373" s="316" t="s">
        <v>131</v>
      </c>
      <c r="C373" s="247" t="s">
        <v>134</v>
      </c>
      <c r="D373" s="317" t="s">
        <v>137</v>
      </c>
    </row>
    <row r="374" spans="1:4">
      <c r="A374" s="318" t="s">
        <v>370</v>
      </c>
      <c r="B374" s="201">
        <v>37</v>
      </c>
      <c r="C374" s="87">
        <v>124</v>
      </c>
      <c r="D374" s="319">
        <v>231</v>
      </c>
    </row>
    <row r="375" spans="1:4">
      <c r="A375" s="320" t="s">
        <v>371</v>
      </c>
      <c r="B375" s="198">
        <v>24642</v>
      </c>
      <c r="C375" s="74">
        <v>24647</v>
      </c>
      <c r="D375" s="306">
        <v>24589</v>
      </c>
    </row>
    <row r="376" spans="1:4">
      <c r="A376" s="320" t="s">
        <v>372</v>
      </c>
      <c r="B376" s="198">
        <v>625</v>
      </c>
      <c r="C376" s="74">
        <v>1165</v>
      </c>
      <c r="D376" s="306">
        <v>4065</v>
      </c>
    </row>
    <row r="377" spans="1:4">
      <c r="A377" s="320" t="s">
        <v>373</v>
      </c>
      <c r="B377" s="198">
        <v>24425</v>
      </c>
      <c r="C377" s="41">
        <v>24324</v>
      </c>
      <c r="D377" s="61">
        <v>24266</v>
      </c>
    </row>
    <row r="378" spans="1:4">
      <c r="A378" s="321" t="s">
        <v>374</v>
      </c>
      <c r="B378" s="199">
        <v>14073</v>
      </c>
      <c r="C378" s="58">
        <v>13642</v>
      </c>
      <c r="D378" s="62">
        <v>13829</v>
      </c>
    </row>
    <row r="379" spans="1:4" ht="15.75" thickBot="1"/>
    <row r="380" spans="1:4" ht="15.75" thickBot="1">
      <c r="A380" s="340" t="s">
        <v>394</v>
      </c>
      <c r="B380" s="322" t="s">
        <v>395</v>
      </c>
    </row>
    <row r="381" spans="1:4">
      <c r="A381" s="38" t="s">
        <v>375</v>
      </c>
      <c r="B381" s="60">
        <v>1007316891</v>
      </c>
    </row>
    <row r="382" spans="1:4">
      <c r="A382" s="327" t="s">
        <v>393</v>
      </c>
      <c r="B382" s="338">
        <v>1007321196</v>
      </c>
    </row>
    <row r="383" spans="1:4" ht="15.75" thickBot="1">
      <c r="A383" s="58" t="s">
        <v>376</v>
      </c>
      <c r="B383" s="339">
        <v>1007334800</v>
      </c>
    </row>
    <row r="385" spans="1:6" ht="15.75" thickBot="1"/>
    <row r="386" spans="1:6" ht="15.75" thickBot="1">
      <c r="A386" s="2"/>
      <c r="B386" s="329" t="s">
        <v>390</v>
      </c>
      <c r="C386" s="331" t="s">
        <v>391</v>
      </c>
      <c r="D386" s="329" t="s">
        <v>385</v>
      </c>
    </row>
    <row r="387" spans="1:6">
      <c r="A387" s="135" t="s">
        <v>377</v>
      </c>
      <c r="B387" s="38">
        <v>1007327576</v>
      </c>
      <c r="C387" s="330" t="s">
        <v>383</v>
      </c>
      <c r="D387" s="326">
        <v>40000</v>
      </c>
    </row>
    <row r="388" spans="1:6">
      <c r="A388" s="56" t="s">
        <v>378</v>
      </c>
      <c r="B388" s="41">
        <v>1007327824</v>
      </c>
      <c r="C388" s="325" t="s">
        <v>384</v>
      </c>
      <c r="D388" s="327">
        <v>-40000</v>
      </c>
    </row>
    <row r="389" spans="1:6">
      <c r="A389" s="56" t="s">
        <v>379</v>
      </c>
      <c r="B389" s="41">
        <v>1007328175</v>
      </c>
      <c r="C389" s="325" t="s">
        <v>386</v>
      </c>
      <c r="D389" s="327">
        <v>32000</v>
      </c>
    </row>
    <row r="390" spans="1:6">
      <c r="A390" s="56" t="s">
        <v>380</v>
      </c>
      <c r="B390" s="41">
        <v>1007328449</v>
      </c>
      <c r="C390" s="325" t="s">
        <v>387</v>
      </c>
      <c r="D390" s="327">
        <v>-32000</v>
      </c>
    </row>
    <row r="391" spans="1:6">
      <c r="A391" s="56" t="s">
        <v>381</v>
      </c>
      <c r="B391" s="41">
        <v>1007328907</v>
      </c>
      <c r="C391" s="198"/>
      <c r="D391" s="327" t="s">
        <v>388</v>
      </c>
    </row>
    <row r="392" spans="1:6" ht="15.75" thickBot="1">
      <c r="A392" s="138" t="s">
        <v>382</v>
      </c>
      <c r="B392" s="58">
        <v>1007329120</v>
      </c>
      <c r="C392" s="199"/>
      <c r="D392" s="328" t="s">
        <v>389</v>
      </c>
    </row>
    <row r="396" spans="1:6">
      <c r="A396" s="140" t="s">
        <v>347</v>
      </c>
      <c r="D396" s="140"/>
      <c r="E396" s="140"/>
      <c r="F396" s="140"/>
    </row>
    <row r="397" spans="1:6">
      <c r="D397" s="140"/>
      <c r="E397" s="140"/>
      <c r="F397" s="140"/>
    </row>
    <row r="398" spans="1:6" ht="15.75" thickBot="1">
      <c r="A398" s="341" t="s">
        <v>49</v>
      </c>
      <c r="D398" s="140"/>
      <c r="E398" s="140"/>
      <c r="F398" s="140"/>
    </row>
    <row r="399" spans="1:6" ht="15.75" thickBot="1">
      <c r="A399" s="342" t="s">
        <v>412</v>
      </c>
      <c r="B399" s="349" t="s">
        <v>241</v>
      </c>
      <c r="C399" s="342" t="s">
        <v>416</v>
      </c>
      <c r="D399" s="345" t="s">
        <v>420</v>
      </c>
      <c r="E399" s="322" t="s">
        <v>255</v>
      </c>
      <c r="F399" s="140"/>
    </row>
    <row r="400" spans="1:6">
      <c r="A400" s="326" t="s">
        <v>396</v>
      </c>
      <c r="B400" s="38">
        <v>12</v>
      </c>
      <c r="C400" s="135">
        <v>600</v>
      </c>
      <c r="D400" s="70">
        <f t="shared" ref="D400:D405" si="14">C400*0.45359</f>
        <v>272.154</v>
      </c>
      <c r="E400" s="357" t="s">
        <v>397</v>
      </c>
      <c r="F400" s="140"/>
    </row>
    <row r="401" spans="1:6">
      <c r="A401" s="327" t="s">
        <v>398</v>
      </c>
      <c r="B401" s="41">
        <v>1</v>
      </c>
      <c r="C401" s="323">
        <v>27.2</v>
      </c>
      <c r="D401" s="76">
        <f t="shared" si="14"/>
        <v>12.337648</v>
      </c>
      <c r="E401" s="358" t="s">
        <v>397</v>
      </c>
      <c r="F401" s="140"/>
    </row>
    <row r="402" spans="1:6">
      <c r="A402" s="350" t="s">
        <v>399</v>
      </c>
      <c r="B402" s="41">
        <v>13</v>
      </c>
      <c r="C402" s="323">
        <v>89.2</v>
      </c>
      <c r="D402" s="76">
        <f t="shared" si="14"/>
        <v>40.460228000000001</v>
      </c>
      <c r="E402" s="358" t="s">
        <v>400</v>
      </c>
      <c r="F402" s="140"/>
    </row>
    <row r="403" spans="1:6">
      <c r="A403" s="327" t="s">
        <v>401</v>
      </c>
      <c r="B403" s="41">
        <v>8</v>
      </c>
      <c r="C403" s="323">
        <v>55.7</v>
      </c>
      <c r="D403" s="76">
        <f t="shared" si="14"/>
        <v>25.264963000000002</v>
      </c>
      <c r="E403" s="358" t="s">
        <v>402</v>
      </c>
      <c r="F403" s="140"/>
    </row>
    <row r="404" spans="1:6" ht="15.75" thickBot="1">
      <c r="A404" s="328" t="s">
        <v>403</v>
      </c>
      <c r="B404" s="58">
        <v>2</v>
      </c>
      <c r="C404" s="138">
        <v>9</v>
      </c>
      <c r="D404" s="83">
        <f t="shared" si="14"/>
        <v>4.0823099999999997</v>
      </c>
      <c r="E404" s="359" t="s">
        <v>404</v>
      </c>
      <c r="F404" s="140"/>
    </row>
    <row r="405" spans="1:6" ht="15.75" thickBot="1">
      <c r="A405" s="140"/>
      <c r="B405" s="322" t="s">
        <v>263</v>
      </c>
      <c r="C405" s="322">
        <f>SUM(C400:C404)</f>
        <v>781.10000000000014</v>
      </c>
      <c r="D405" s="324">
        <f t="shared" si="14"/>
        <v>354.29914900000006</v>
      </c>
      <c r="E405" s="52"/>
      <c r="F405" s="140"/>
    </row>
    <row r="406" spans="1:6" ht="15.75" thickBot="1">
      <c r="A406" s="334" t="s">
        <v>49</v>
      </c>
      <c r="B406" s="2"/>
      <c r="D406" s="182"/>
      <c r="E406" s="182"/>
      <c r="F406" s="140"/>
    </row>
    <row r="407" spans="1:6" ht="15.75" thickBot="1">
      <c r="A407" s="110" t="s">
        <v>413</v>
      </c>
      <c r="B407" s="344" t="s">
        <v>241</v>
      </c>
      <c r="C407" s="342" t="s">
        <v>248</v>
      </c>
      <c r="D407" s="344" t="s">
        <v>415</v>
      </c>
      <c r="E407" s="344" t="s">
        <v>414</v>
      </c>
      <c r="F407" s="348" t="s">
        <v>255</v>
      </c>
    </row>
    <row r="408" spans="1:6">
      <c r="A408" s="291" t="s">
        <v>405</v>
      </c>
      <c r="B408" s="201">
        <v>6</v>
      </c>
      <c r="C408" s="38">
        <v>10</v>
      </c>
      <c r="D408" s="90">
        <f t="shared" ref="D408:D413" si="15">B408*C408</f>
        <v>60</v>
      </c>
      <c r="E408" s="70">
        <f t="shared" ref="E408:E414" si="16">D408/0.45359</f>
        <v>132.27804845785843</v>
      </c>
      <c r="F408" s="360" t="s">
        <v>406</v>
      </c>
    </row>
    <row r="409" spans="1:6">
      <c r="A409" s="145" t="s">
        <v>407</v>
      </c>
      <c r="B409" s="198">
        <v>6</v>
      </c>
      <c r="C409" s="65">
        <v>5</v>
      </c>
      <c r="D409" s="77">
        <f t="shared" si="15"/>
        <v>30</v>
      </c>
      <c r="E409" s="76">
        <f t="shared" si="16"/>
        <v>66.139024228929216</v>
      </c>
      <c r="F409" s="361" t="s">
        <v>406</v>
      </c>
    </row>
    <row r="410" spans="1:6">
      <c r="A410" s="145" t="s">
        <v>408</v>
      </c>
      <c r="B410" s="198">
        <v>6</v>
      </c>
      <c r="C410" s="65">
        <v>3</v>
      </c>
      <c r="D410" s="77">
        <f t="shared" si="15"/>
        <v>18</v>
      </c>
      <c r="E410" s="76">
        <f t="shared" si="16"/>
        <v>39.683414537357528</v>
      </c>
      <c r="F410" s="361" t="s">
        <v>406</v>
      </c>
    </row>
    <row r="411" spans="1:6">
      <c r="A411" s="145" t="s">
        <v>409</v>
      </c>
      <c r="B411" s="198">
        <v>6</v>
      </c>
      <c r="C411" s="65">
        <v>1</v>
      </c>
      <c r="D411" s="77">
        <f t="shared" si="15"/>
        <v>6</v>
      </c>
      <c r="E411" s="76">
        <f t="shared" si="16"/>
        <v>13.227804845785842</v>
      </c>
      <c r="F411" s="361" t="s">
        <v>406</v>
      </c>
    </row>
    <row r="412" spans="1:6">
      <c r="A412" s="145" t="s">
        <v>410</v>
      </c>
      <c r="B412" s="198">
        <v>6</v>
      </c>
      <c r="C412" s="65">
        <v>0.5</v>
      </c>
      <c r="D412" s="77">
        <f t="shared" si="15"/>
        <v>3</v>
      </c>
      <c r="E412" s="76">
        <f t="shared" si="16"/>
        <v>6.6139024228929211</v>
      </c>
      <c r="F412" s="361" t="s">
        <v>406</v>
      </c>
    </row>
    <row r="413" spans="1:6" ht="15.75" thickBot="1">
      <c r="A413" s="147" t="s">
        <v>411</v>
      </c>
      <c r="B413" s="199">
        <v>12</v>
      </c>
      <c r="C413" s="304">
        <v>0.25</v>
      </c>
      <c r="D413" s="84">
        <f t="shared" si="15"/>
        <v>3</v>
      </c>
      <c r="E413" s="83">
        <f t="shared" si="16"/>
        <v>6.6139024228929211</v>
      </c>
      <c r="F413" s="362" t="s">
        <v>406</v>
      </c>
    </row>
    <row r="414" spans="1:6" ht="15.75" thickBot="1">
      <c r="B414" s="2"/>
      <c r="C414" s="322" t="s">
        <v>263</v>
      </c>
      <c r="D414" s="363">
        <f>SUM(D408:D413)</f>
        <v>120</v>
      </c>
      <c r="E414" s="364">
        <f t="shared" si="16"/>
        <v>264.55609691571686</v>
      </c>
      <c r="F414" s="140"/>
    </row>
    <row r="415" spans="1:6">
      <c r="D415" s="140"/>
      <c r="E415" s="140"/>
      <c r="F415" s="140"/>
    </row>
    <row r="416" spans="1:6">
      <c r="A416" s="341" t="s">
        <v>48</v>
      </c>
      <c r="D416" s="140"/>
      <c r="E416" s="140"/>
      <c r="F416" s="140"/>
    </row>
    <row r="417" spans="1:6">
      <c r="A417" s="341"/>
      <c r="D417" s="140"/>
      <c r="E417" s="140"/>
      <c r="F417" s="140"/>
    </row>
    <row r="418" spans="1:6">
      <c r="D418" s="140"/>
      <c r="E418" s="140"/>
      <c r="F418" s="140"/>
    </row>
    <row r="419" spans="1:6">
      <c r="A419" s="140" t="s">
        <v>252</v>
      </c>
      <c r="B419" s="1">
        <v>12</v>
      </c>
      <c r="C419" s="182" t="s">
        <v>193</v>
      </c>
      <c r="D419" s="140"/>
      <c r="E419" s="140"/>
      <c r="F419" s="140"/>
    </row>
    <row r="420" spans="1:6">
      <c r="A420" s="140" t="s">
        <v>253</v>
      </c>
      <c r="B420" s="1">
        <v>10</v>
      </c>
      <c r="C420" s="182" t="s">
        <v>193</v>
      </c>
      <c r="D420" s="140"/>
      <c r="E420" s="140"/>
      <c r="F420" s="140"/>
    </row>
    <row r="421" spans="1:6">
      <c r="A421" s="140" t="s">
        <v>254</v>
      </c>
      <c r="B421" s="1">
        <v>10</v>
      </c>
      <c r="C421" s="182" t="s">
        <v>193</v>
      </c>
      <c r="D421" s="140"/>
      <c r="E421" s="140"/>
      <c r="F421" s="140"/>
    </row>
    <row r="422" spans="1:6">
      <c r="B422" s="334"/>
      <c r="D422" s="140"/>
      <c r="E422" s="140"/>
      <c r="F422" s="140"/>
    </row>
    <row r="423" spans="1:6" ht="15.75" thickBot="1">
      <c r="A423" s="42" t="s">
        <v>48</v>
      </c>
      <c r="B423" s="351"/>
      <c r="C423" s="351"/>
      <c r="D423" s="351"/>
      <c r="E423" s="140"/>
      <c r="F423" s="140"/>
    </row>
    <row r="424" spans="1:6" ht="15.75" thickBot="1">
      <c r="A424" s="354" t="s">
        <v>413</v>
      </c>
      <c r="B424" s="343" t="s">
        <v>255</v>
      </c>
      <c r="C424" s="342" t="s">
        <v>256</v>
      </c>
      <c r="D424" s="349" t="s">
        <v>248</v>
      </c>
      <c r="E424" s="346"/>
      <c r="F424" s="140"/>
    </row>
    <row r="425" spans="1:6">
      <c r="A425" s="355" t="s">
        <v>252</v>
      </c>
      <c r="B425" s="201" t="s">
        <v>257</v>
      </c>
      <c r="C425" s="38">
        <v>12</v>
      </c>
      <c r="D425" s="305">
        <f t="shared" ref="D425:D430" si="17">C425*0.458</f>
        <v>5.4960000000000004</v>
      </c>
      <c r="E425" s="140"/>
      <c r="F425" s="140"/>
    </row>
    <row r="426" spans="1:6">
      <c r="A426" s="120" t="s">
        <v>417</v>
      </c>
      <c r="B426" s="198" t="s">
        <v>258</v>
      </c>
      <c r="C426" s="41">
        <v>21.1</v>
      </c>
      <c r="D426" s="306">
        <f t="shared" si="17"/>
        <v>9.6638000000000002</v>
      </c>
      <c r="E426" s="140"/>
      <c r="F426" s="140"/>
    </row>
    <row r="427" spans="1:6">
      <c r="A427" s="356" t="s">
        <v>252</v>
      </c>
      <c r="B427" s="352" t="s">
        <v>259</v>
      </c>
      <c r="C427" s="41">
        <v>12</v>
      </c>
      <c r="D427" s="306">
        <f t="shared" si="17"/>
        <v>5.4960000000000004</v>
      </c>
      <c r="E427" s="140"/>
      <c r="F427" s="140"/>
    </row>
    <row r="428" spans="1:6">
      <c r="A428" s="120" t="s">
        <v>418</v>
      </c>
      <c r="B428" s="352" t="s">
        <v>260</v>
      </c>
      <c r="C428" s="41">
        <v>11.1</v>
      </c>
      <c r="D428" s="306">
        <f t="shared" si="17"/>
        <v>5.0838000000000001</v>
      </c>
      <c r="E428" s="140"/>
      <c r="F428" s="140"/>
    </row>
    <row r="429" spans="1:6">
      <c r="A429" s="356" t="s">
        <v>252</v>
      </c>
      <c r="B429" s="352" t="s">
        <v>261</v>
      </c>
      <c r="C429" s="41">
        <v>12</v>
      </c>
      <c r="D429" s="306">
        <f t="shared" si="17"/>
        <v>5.4960000000000004</v>
      </c>
      <c r="E429" s="140"/>
      <c r="F429" s="140"/>
    </row>
    <row r="430" spans="1:6" ht="15.75" thickBot="1">
      <c r="A430" s="125" t="s">
        <v>419</v>
      </c>
      <c r="B430" s="353" t="s">
        <v>262</v>
      </c>
      <c r="C430" s="204">
        <v>20.100000000000001</v>
      </c>
      <c r="D430" s="307">
        <f t="shared" si="17"/>
        <v>9.2058000000000018</v>
      </c>
      <c r="E430" s="140"/>
      <c r="F430" s="140"/>
    </row>
    <row r="431" spans="1:6" ht="15.75" thickBot="1">
      <c r="B431" s="347" t="s">
        <v>263</v>
      </c>
      <c r="C431" s="157">
        <f>SUM(C425:C430)</f>
        <v>88.300000000000011</v>
      </c>
      <c r="D431" s="308">
        <f>SUM(D425:D430)</f>
        <v>40.441400000000002</v>
      </c>
      <c r="E431" s="140"/>
      <c r="F431" s="140"/>
    </row>
    <row r="436" spans="1:3">
      <c r="A436" s="42" t="s">
        <v>421</v>
      </c>
    </row>
    <row r="438" spans="1:3">
      <c r="B438" s="1">
        <v>0.54126938346978903</v>
      </c>
      <c r="C438" s="2">
        <v>388.87726630475402</v>
      </c>
    </row>
    <row r="439" spans="1:3">
      <c r="B439" s="1" t="s">
        <v>422</v>
      </c>
      <c r="C439" s="2">
        <v>1.4961161000601599</v>
      </c>
    </row>
    <row r="440" spans="1:3">
      <c r="B440" s="1">
        <v>0.539061391515544</v>
      </c>
      <c r="C440" s="2">
        <v>594.95190572216904</v>
      </c>
    </row>
    <row r="441" spans="1:3">
      <c r="B441" s="1">
        <v>0.41657933231206401</v>
      </c>
      <c r="C441" s="2">
        <v>86.274832171476604</v>
      </c>
    </row>
    <row r="442" spans="1:3">
      <c r="B442" s="1">
        <v>0.41424028877702601</v>
      </c>
      <c r="C442" s="2">
        <v>-270.19891091400598</v>
      </c>
    </row>
    <row r="443" spans="1:3">
      <c r="B443" s="1">
        <v>0.41311499037591098</v>
      </c>
      <c r="C443" s="2">
        <v>382.77479619510802</v>
      </c>
    </row>
    <row r="444" spans="1:3">
      <c r="B444" s="1">
        <v>0.31152047510765102</v>
      </c>
      <c r="C444" s="2">
        <v>589.37528689021599</v>
      </c>
    </row>
    <row r="445" spans="1:3">
      <c r="B445" s="1">
        <v>0.31223954726370401</v>
      </c>
      <c r="C445" s="2">
        <v>833.22041326236297</v>
      </c>
    </row>
    <row r="446" spans="1:3">
      <c r="B446" s="1">
        <v>0.30772242858409998</v>
      </c>
      <c r="C446" s="2">
        <v>803.21915903489901</v>
      </c>
    </row>
    <row r="447" spans="1:3">
      <c r="B447" s="1">
        <v>0.372549227641915</v>
      </c>
      <c r="C447" s="2">
        <v>1077.32451069389</v>
      </c>
    </row>
    <row r="448" spans="1:3">
      <c r="B448" s="1">
        <v>0.368356841068398</v>
      </c>
      <c r="C448" s="2">
        <v>509.65244484737002</v>
      </c>
    </row>
    <row r="449" spans="1:6">
      <c r="B449" s="1">
        <v>0.37252110846360198</v>
      </c>
      <c r="C449" s="2">
        <v>-99.990258490744495</v>
      </c>
    </row>
    <row r="451" spans="1:6" ht="15.75" thickBot="1"/>
    <row r="452" spans="1:6" ht="51.75" thickBot="1">
      <c r="B452" s="188"/>
      <c r="C452" s="337" t="s">
        <v>200</v>
      </c>
      <c r="D452" s="190" t="s">
        <v>201</v>
      </c>
      <c r="E452" s="130" t="s">
        <v>202</v>
      </c>
      <c r="F452" s="131" t="s">
        <v>203</v>
      </c>
    </row>
    <row r="453" spans="1:6" ht="15.75" thickBot="1">
      <c r="A453" s="484" t="s">
        <v>48</v>
      </c>
      <c r="B453" s="63" t="s">
        <v>55</v>
      </c>
      <c r="C453" s="375">
        <v>0.54126938346978903</v>
      </c>
      <c r="D453" s="370">
        <v>388.87726630475402</v>
      </c>
      <c r="E453" s="519">
        <f>AVERAGE(C453:C455)</f>
        <v>0.54016538749266652</v>
      </c>
      <c r="F453" s="73">
        <f>100*(C453-$E$453)/$E$133</f>
        <v>0.20323510160549485</v>
      </c>
    </row>
    <row r="454" spans="1:6" ht="15.75" thickBot="1">
      <c r="A454" s="484"/>
      <c r="B454" s="40" t="s">
        <v>61</v>
      </c>
      <c r="C454" s="376"/>
      <c r="D454" s="371"/>
      <c r="E454" s="519"/>
      <c r="F454" s="79"/>
    </row>
    <row r="455" spans="1:6" ht="15.75" thickBot="1">
      <c r="A455" s="484"/>
      <c r="B455" s="57" t="s">
        <v>67</v>
      </c>
      <c r="C455" s="377">
        <v>0.539061391515544</v>
      </c>
      <c r="D455" s="372">
        <v>594.95190572216904</v>
      </c>
      <c r="E455" s="519"/>
      <c r="F455" s="86">
        <f>100*(C455-$E$453)/$E$133</f>
        <v>-0.20323510160549485</v>
      </c>
    </row>
    <row r="456" spans="1:6" ht="15.75" thickBot="1">
      <c r="A456" s="484"/>
      <c r="B456" s="37" t="s">
        <v>73</v>
      </c>
      <c r="C456" s="378">
        <v>0.41657933231206401</v>
      </c>
      <c r="D456" s="373">
        <v>86.274832171476604</v>
      </c>
      <c r="E456" s="519">
        <f>AVERAGE(C456:C458)</f>
        <v>0.41464487048833365</v>
      </c>
      <c r="F456" s="73">
        <f>100*(C456-$E$456)/$E$456</f>
        <v>0.46653460862837026</v>
      </c>
    </row>
    <row r="457" spans="1:6" ht="15.75" thickBot="1">
      <c r="A457" s="484"/>
      <c r="B457" s="40" t="s">
        <v>79</v>
      </c>
      <c r="C457" s="376">
        <v>0.41424028877702601</v>
      </c>
      <c r="D457" s="371">
        <v>-270.19891091400598</v>
      </c>
      <c r="E457" s="519"/>
      <c r="F457" s="79">
        <f>100*(C457-$E$456)/$E$456</f>
        <v>-9.7573065556353505E-2</v>
      </c>
    </row>
    <row r="458" spans="1:6" ht="15.75" thickBot="1">
      <c r="A458" s="484"/>
      <c r="B458" s="57" t="s">
        <v>85</v>
      </c>
      <c r="C458" s="379">
        <v>0.41311499037591098</v>
      </c>
      <c r="D458" s="374">
        <v>382.77479619510802</v>
      </c>
      <c r="E458" s="519"/>
      <c r="F458" s="86">
        <f>100*(C458-$E$456)/$E$456</f>
        <v>-0.36896154307200335</v>
      </c>
    </row>
    <row r="459" spans="1:6" ht="15.75" thickBot="1">
      <c r="A459" s="484" t="s">
        <v>49</v>
      </c>
      <c r="B459" s="63" t="s">
        <v>57</v>
      </c>
      <c r="C459" s="375">
        <v>0.31152047510765102</v>
      </c>
      <c r="D459" s="370">
        <v>589.37528689021599</v>
      </c>
      <c r="E459" s="519">
        <f>AVERAGE(C459:C461)</f>
        <v>0.31049415031848504</v>
      </c>
      <c r="F459" s="73">
        <f>100*(C459-$E$459)/$E$459</f>
        <v>0.33054561192642096</v>
      </c>
    </row>
    <row r="460" spans="1:6" ht="15.75" thickBot="1">
      <c r="A460" s="484"/>
      <c r="B460" s="40" t="s">
        <v>63</v>
      </c>
      <c r="C460" s="376">
        <v>0.31223954726370401</v>
      </c>
      <c r="D460" s="371">
        <v>833.22041326236297</v>
      </c>
      <c r="E460" s="519"/>
      <c r="F460" s="79">
        <f>100*(C460-$E$459)/$E$459</f>
        <v>0.5621352104149635</v>
      </c>
    </row>
    <row r="461" spans="1:6" ht="15.75" thickBot="1">
      <c r="A461" s="484"/>
      <c r="B461" s="57" t="s">
        <v>69</v>
      </c>
      <c r="C461" s="377">
        <v>0.30772242858409998</v>
      </c>
      <c r="D461" s="372">
        <v>803.21915903489901</v>
      </c>
      <c r="E461" s="519"/>
      <c r="F461" s="86">
        <f>100*(C461-$E$459)/$E$459</f>
        <v>-0.89268082234142021</v>
      </c>
    </row>
    <row r="462" spans="1:6" ht="15.75" thickBot="1">
      <c r="A462" s="484"/>
      <c r="B462" s="37" t="s">
        <v>75</v>
      </c>
      <c r="C462" s="378">
        <v>0.372549227641915</v>
      </c>
      <c r="D462" s="373">
        <v>1077.32451069389</v>
      </c>
      <c r="E462" s="519">
        <f>AVERAGE(C462:C464)</f>
        <v>0.37114239239130503</v>
      </c>
      <c r="F462" s="73">
        <f>100*(C462-$E$462)/$E$462</f>
        <v>0.37905539206814981</v>
      </c>
    </row>
    <row r="463" spans="1:6" ht="15.75" thickBot="1">
      <c r="A463" s="484"/>
      <c r="B463" s="40" t="s">
        <v>81</v>
      </c>
      <c r="C463" s="376">
        <v>0.368356841068398</v>
      </c>
      <c r="D463" s="371">
        <v>509.65244484737002</v>
      </c>
      <c r="E463" s="519"/>
      <c r="F463" s="79">
        <f>100*(C463-$E$462)/$E$462</f>
        <v>-0.75053439866016514</v>
      </c>
    </row>
    <row r="464" spans="1:6" ht="15.75" thickBot="1">
      <c r="A464" s="484"/>
      <c r="B464" s="57" t="s">
        <v>87</v>
      </c>
      <c r="C464" s="377">
        <v>0.37252110846360198</v>
      </c>
      <c r="D464" s="372">
        <v>-99.990258490744495</v>
      </c>
      <c r="E464" s="519"/>
      <c r="F464" s="86">
        <f>100*(C464-$E$462)/$E$462</f>
        <v>0.37147900659198541</v>
      </c>
    </row>
  </sheetData>
  <mergeCells count="66">
    <mergeCell ref="A453:A458"/>
    <mergeCell ref="E453:E455"/>
    <mergeCell ref="E456:E458"/>
    <mergeCell ref="A459:A464"/>
    <mergeCell ref="E459:E461"/>
    <mergeCell ref="E462:E464"/>
    <mergeCell ref="B372:D372"/>
    <mergeCell ref="B280:C280"/>
    <mergeCell ref="D280:E280"/>
    <mergeCell ref="F280:G280"/>
    <mergeCell ref="B326:B331"/>
    <mergeCell ref="D333:I333"/>
    <mergeCell ref="B335:B340"/>
    <mergeCell ref="D342:I342"/>
    <mergeCell ref="B344:B349"/>
    <mergeCell ref="D296:I296"/>
    <mergeCell ref="B298:B303"/>
    <mergeCell ref="D306:I306"/>
    <mergeCell ref="B308:B313"/>
    <mergeCell ref="B317:B322"/>
    <mergeCell ref="D206:I206"/>
    <mergeCell ref="B208:B213"/>
    <mergeCell ref="D215:I215"/>
    <mergeCell ref="B217:B222"/>
    <mergeCell ref="B253:D253"/>
    <mergeCell ref="B171:B176"/>
    <mergeCell ref="D179:I179"/>
    <mergeCell ref="B181:B186"/>
    <mergeCell ref="B190:B195"/>
    <mergeCell ref="B199:B204"/>
    <mergeCell ref="A139:A144"/>
    <mergeCell ref="E139:E141"/>
    <mergeCell ref="E142:E144"/>
    <mergeCell ref="B148:E148"/>
    <mergeCell ref="D169:I169"/>
    <mergeCell ref="F88:G88"/>
    <mergeCell ref="O88:P88"/>
    <mergeCell ref="A133:A138"/>
    <mergeCell ref="E133:E135"/>
    <mergeCell ref="E136:E138"/>
    <mergeCell ref="B80:C80"/>
    <mergeCell ref="D80:E80"/>
    <mergeCell ref="B87:C87"/>
    <mergeCell ref="D87:E87"/>
    <mergeCell ref="B88:C88"/>
    <mergeCell ref="D88:E88"/>
    <mergeCell ref="A21:B21"/>
    <mergeCell ref="A24:B24"/>
    <mergeCell ref="E24:F24"/>
    <mergeCell ref="A74:B74"/>
    <mergeCell ref="C74:D74"/>
    <mergeCell ref="A16:B16"/>
    <mergeCell ref="A17:B17"/>
    <mergeCell ref="A18:B18"/>
    <mergeCell ref="A19:B19"/>
    <mergeCell ref="A20:B20"/>
    <mergeCell ref="A10:B10"/>
    <mergeCell ref="A11:B11"/>
    <mergeCell ref="A12:B13"/>
    <mergeCell ref="A14:B14"/>
    <mergeCell ref="A15:B15"/>
    <mergeCell ref="A5:B5"/>
    <mergeCell ref="A6:B6"/>
    <mergeCell ref="A7:B7"/>
    <mergeCell ref="A8:B8"/>
    <mergeCell ref="A9:B9"/>
  </mergeCells>
  <pageMargins left="0.7" right="0.7" top="0.75" bottom="0.75" header="0.51180555555555496" footer="0.51180555555555496"/>
  <pageSetup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Staging building</vt:lpstr>
      <vt:lpstr>LVEA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vincent.lhuillier</dc:creator>
  <cp:lastModifiedBy>Vincent Lhuillier</cp:lastModifiedBy>
  <cp:revision>0</cp:revision>
  <dcterms:created xsi:type="dcterms:W3CDTF">2011-12-07T21:27:43Z</dcterms:created>
  <dcterms:modified xsi:type="dcterms:W3CDTF">2012-10-22T17:04:05Z</dcterms:modified>
</cp:coreProperties>
</file>