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-15" windowWidth="24315" windowHeight="13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71" i="1"/>
  <c r="H69"/>
  <c r="H67"/>
  <c r="H65"/>
  <c r="H63"/>
  <c r="S63" s="1"/>
  <c r="H61"/>
  <c r="N69"/>
  <c r="N67"/>
  <c r="N65"/>
  <c r="N63"/>
  <c r="N61"/>
  <c r="L71"/>
  <c r="E24"/>
  <c r="S69" l="1"/>
  <c r="S65"/>
  <c r="S61"/>
  <c r="S67"/>
  <c r="E56" l="1"/>
  <c r="E70" s="1"/>
  <c r="F70" s="1"/>
  <c r="E44"/>
  <c r="E43"/>
  <c r="E52" s="1"/>
  <c r="E66" s="1"/>
  <c r="E42"/>
  <c r="E54" s="1"/>
  <c r="E68" s="1"/>
  <c r="E41"/>
  <c r="E55" s="1"/>
  <c r="E69" s="1"/>
  <c r="E40"/>
  <c r="E53" s="1"/>
  <c r="E67" s="1"/>
  <c r="E39"/>
  <c r="E51" s="1"/>
  <c r="E65" s="1"/>
  <c r="E38"/>
  <c r="E50" s="1"/>
  <c r="E64" s="1"/>
  <c r="E37"/>
  <c r="E49" s="1"/>
  <c r="E63" s="1"/>
  <c r="E36"/>
  <c r="E48" s="1"/>
  <c r="E62" s="1"/>
  <c r="E35"/>
  <c r="E47" s="1"/>
  <c r="E61" l="1"/>
  <c r="F69" l="1"/>
  <c r="U69" s="1"/>
  <c r="F68"/>
  <c r="F67"/>
  <c r="F66"/>
  <c r="F65"/>
  <c r="F64"/>
  <c r="F63"/>
  <c r="F62"/>
  <c r="F61"/>
  <c r="E22"/>
  <c r="S55"/>
  <c r="R71"/>
  <c r="Q71"/>
  <c r="O71"/>
  <c r="K71"/>
  <c r="J71"/>
  <c r="I71"/>
  <c r="F54"/>
  <c r="F53"/>
  <c r="S53"/>
  <c r="S51"/>
  <c r="S47"/>
  <c r="S49"/>
  <c r="F36"/>
  <c r="F37"/>
  <c r="F38"/>
  <c r="F39"/>
  <c r="F40"/>
  <c r="F41"/>
  <c r="F42"/>
  <c r="F43"/>
  <c r="F44"/>
  <c r="F52"/>
  <c r="F35"/>
  <c r="U67" l="1"/>
  <c r="U61"/>
  <c r="U65"/>
  <c r="D54"/>
  <c r="U63"/>
  <c r="E23"/>
  <c r="H53" l="1"/>
  <c r="K53" s="1"/>
  <c r="T69"/>
  <c r="N49"/>
  <c r="L49" s="1"/>
  <c r="N51"/>
  <c r="N53"/>
  <c r="N55"/>
  <c r="N47"/>
  <c r="L47" s="1"/>
  <c r="T65"/>
  <c r="T53"/>
  <c r="T63"/>
  <c r="Q53"/>
  <c r="T61"/>
  <c r="T67"/>
  <c r="F56"/>
  <c r="F50"/>
  <c r="F48"/>
  <c r="M53" l="1"/>
  <c r="M67" s="1"/>
  <c r="L53"/>
  <c r="M55"/>
  <c r="M69" s="1"/>
  <c r="L55"/>
  <c r="M51"/>
  <c r="M65" s="1"/>
  <c r="L51"/>
  <c r="O53"/>
  <c r="G53"/>
  <c r="G67" s="1"/>
  <c r="F55"/>
  <c r="H55" s="1"/>
  <c r="K55" s="1"/>
  <c r="F47"/>
  <c r="F51"/>
  <c r="H51" s="1"/>
  <c r="K51" s="1"/>
  <c r="F49"/>
  <c r="H49" s="1"/>
  <c r="K49" s="1"/>
  <c r="D49" l="1"/>
  <c r="G55"/>
  <c r="G69" s="1"/>
  <c r="O55"/>
  <c r="O51"/>
  <c r="G51"/>
  <c r="G65" s="1"/>
  <c r="O49"/>
  <c r="G49"/>
  <c r="G63" s="1"/>
  <c r="D55"/>
  <c r="D51"/>
  <c r="D48"/>
  <c r="H47"/>
  <c r="K47" s="1"/>
  <c r="Q49"/>
  <c r="T47"/>
  <c r="T51"/>
  <c r="Q51"/>
  <c r="T49"/>
  <c r="Q55"/>
  <c r="T55"/>
  <c r="G47" l="1"/>
  <c r="G61" s="1"/>
  <c r="O47"/>
  <c r="Q47" s="1"/>
  <c r="M47" s="1"/>
  <c r="M61" s="1"/>
  <c r="M49"/>
  <c r="M63" s="1"/>
</calcChain>
</file>

<file path=xl/sharedStrings.xml><?xml version="1.0" encoding="utf-8"?>
<sst xmlns="http://schemas.openxmlformats.org/spreadsheetml/2006/main" count="109" uniqueCount="80">
  <si>
    <t>S/N</t>
  </si>
  <si>
    <t>Blade pairs</t>
  </si>
  <si>
    <t>new thickness, in</t>
  </si>
  <si>
    <t>CGT, lbs</t>
  </si>
  <si>
    <t>Blade Balance Weight, kg</t>
  </si>
  <si>
    <t>Blade Balance Weight, lbs</t>
  </si>
  <si>
    <t>desired CW2, lbs</t>
  </si>
  <si>
    <t>actual CW2, lbs</t>
  </si>
  <si>
    <t>XCW1, in</t>
  </si>
  <si>
    <t>YCW1, in</t>
  </si>
  <si>
    <t>XCW2, in</t>
  </si>
  <si>
    <t>YCW2, in</t>
  </si>
  <si>
    <t>actual CW1, lbs</t>
  </si>
  <si>
    <t>desired CW1, lbs</t>
  </si>
  <si>
    <t>total desired balance weight, lbs</t>
  </si>
  <si>
    <t>measured thickness, in</t>
  </si>
  <si>
    <t>g, m/s^2</t>
  </si>
  <si>
    <t>loaded vertical blade displacement, m</t>
  </si>
  <si>
    <t>CG of optics table</t>
  </si>
  <si>
    <t>axial postion of blade</t>
  </si>
  <si>
    <t>transverse postion of blade</t>
  </si>
  <si>
    <t>XCGT, in</t>
  </si>
  <si>
    <t>YCGT, in</t>
  </si>
  <si>
    <t>SX, in</t>
  </si>
  <si>
    <t>SY, in</t>
  </si>
  <si>
    <t>x-offset from mounting bolt, in</t>
  </si>
  <si>
    <t>y-offset from mounting bolt, in</t>
  </si>
  <si>
    <t>x-offset of CW1 from mounting bolt, in</t>
  </si>
  <si>
    <t>y-offset of CW2 from mounting bolt, in</t>
  </si>
  <si>
    <t>CW1 (centered), lbs</t>
  </si>
  <si>
    <t>CW2 (offset), lbs</t>
  </si>
  <si>
    <t>3#</t>
  </si>
  <si>
    <t>0.5#</t>
  </si>
  <si>
    <t>0.25#</t>
  </si>
  <si>
    <t>1#</t>
  </si>
  <si>
    <t>total suspended weight, lbs</t>
  </si>
  <si>
    <t>total blade balance weight, lbs</t>
  </si>
  <si>
    <t>weight of optics table</t>
  </si>
  <si>
    <t>weight of upper SUS wire assy</t>
  </si>
  <si>
    <t>total weight of suspended  optics table</t>
  </si>
  <si>
    <t>total weights needed</t>
  </si>
  <si>
    <t>Blade version</t>
  </si>
  <si>
    <t>D0900541-v4</t>
  </si>
  <si>
    <t>E1300043-v3 OFI Balance Weights &amp; Locations</t>
  </si>
  <si>
    <t>tare weight</t>
  </si>
  <si>
    <t>kg</t>
  </si>
  <si>
    <t>lbs</t>
  </si>
  <si>
    <t>Blade Orientation</t>
  </si>
  <si>
    <t>Input</t>
  </si>
  <si>
    <t>Output</t>
  </si>
  <si>
    <t>Lift Difference, lbs</t>
  </si>
  <si>
    <t>X loc of CW2</t>
  </si>
  <si>
    <t>y loc of CW1</t>
  </si>
  <si>
    <t>0.13#</t>
  </si>
  <si>
    <t>distance point 1 to top edge CW2</t>
  </si>
  <si>
    <t>distance from CG to top edge CW2</t>
  </si>
  <si>
    <t>distance from CG to right edge CW2</t>
  </si>
  <si>
    <t>distance point 1 to right edge CW1</t>
  </si>
  <si>
    <t>total variable weight, lbs</t>
  </si>
  <si>
    <t>total actual variable weight, lbs</t>
  </si>
  <si>
    <t>BALANCE WEIGHT DETERMINATION PROCEDURE:</t>
  </si>
  <si>
    <t>STEP 1:</t>
  </si>
  <si>
    <t>STEP 2:</t>
  </si>
  <si>
    <t>Choose actual couterweight values using combinations of available discrete weights</t>
  </si>
  <si>
    <t>STEP 3:</t>
  </si>
  <si>
    <t>Verify the balance weight values and positions by using the Solid Works Model of the OFI Table Assembly D0900623</t>
  </si>
  <si>
    <t xml:space="preserve">           1)</t>
  </si>
  <si>
    <t xml:space="preserve">           2)</t>
  </si>
  <si>
    <t>Unsupress the required discrete CW1 and CW2 weights</t>
  </si>
  <si>
    <t xml:space="preserve">           3)</t>
  </si>
  <si>
    <t>CW2 position: set the Distance122 (point1) mate for the 3# weight equal to the "distance point 1 to top edge CW2" shown in the table below</t>
  </si>
  <si>
    <t>CW1 position: set the Distance121 (point1) mate for the 1# weight equal to the "distance point 1 to right edge CW1" shown in the table below</t>
  </si>
  <si>
    <t>use E130043-v3.xmcd program to determine the exact counterweights and their locations ( you must start with a guess for CW1 and CW2). The calculation is duplicated in the spread sheet below.</t>
  </si>
  <si>
    <t xml:space="preserve">           4)</t>
  </si>
  <si>
    <t>Unsupress the blade unbalance weight; the unbalance weight should be placed at the location of the tip of the weakest blade.</t>
  </si>
  <si>
    <t>The CG of the balanced table should move to the center of the suspension wires, described as "point1"</t>
  </si>
  <si>
    <t>Location</t>
  </si>
  <si>
    <t>E1300043-v3 S/N</t>
  </si>
  <si>
    <t>CW1 weight assembly</t>
  </si>
  <si>
    <t>CW2 weight assembly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</si>
</sst>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2" fontId="2" fillId="0" borderId="1" xfId="0" applyNumberFormat="1" applyFont="1" applyBorder="1"/>
    <xf numFmtId="0" fontId="0" fillId="0" borderId="3" xfId="0" applyBorder="1"/>
    <xf numFmtId="165" fontId="0" fillId="0" borderId="3" xfId="0" applyNumberFormat="1" applyBorder="1"/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164" fontId="0" fillId="0" borderId="1" xfId="0" applyNumberFormat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5" fontId="0" fillId="0" borderId="0" xfId="0" applyNumberFormat="1" applyBorder="1"/>
    <xf numFmtId="0" fontId="0" fillId="0" borderId="0" xfId="0" applyFill="1" applyBorder="1" applyAlignment="1">
      <alignment horizontal="right"/>
    </xf>
    <xf numFmtId="166" fontId="0" fillId="0" borderId="1" xfId="0" applyNumberFormat="1" applyBorder="1"/>
    <xf numFmtId="0" fontId="0" fillId="0" borderId="1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right"/>
    </xf>
    <xf numFmtId="166" fontId="2" fillId="0" borderId="1" xfId="0" applyNumberFormat="1" applyFont="1" applyBorder="1"/>
    <xf numFmtId="2" fontId="2" fillId="0" borderId="3" xfId="0" applyNumberFormat="1" applyFont="1" applyBorder="1"/>
    <xf numFmtId="2" fontId="0" fillId="0" borderId="1" xfId="0" applyNumberFormat="1" applyBorder="1" applyAlignment="1">
      <alignment horizontal="right"/>
    </xf>
    <xf numFmtId="0" fontId="2" fillId="0" borderId="1" xfId="0" applyFont="1" applyBorder="1"/>
    <xf numFmtId="0" fontId="0" fillId="0" borderId="3" xfId="0" applyBorder="1" applyAlignment="1">
      <alignment horizontal="right"/>
    </xf>
    <xf numFmtId="2" fontId="0" fillId="0" borderId="1" xfId="0" applyNumberFormat="1" applyFill="1" applyBorder="1"/>
    <xf numFmtId="2" fontId="2" fillId="0" borderId="1" xfId="0" applyNumberFormat="1" applyFont="1" applyFill="1" applyBorder="1"/>
    <xf numFmtId="0" fontId="0" fillId="0" borderId="0" xfId="0" applyFill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166" fontId="0" fillId="0" borderId="1" xfId="0" applyNumberFormat="1" applyFill="1" applyBorder="1"/>
    <xf numFmtId="166" fontId="2" fillId="0" borderId="3" xfId="0" applyNumberFormat="1" applyFont="1" applyBorder="1"/>
    <xf numFmtId="2" fontId="2" fillId="0" borderId="0" xfId="0" applyNumberFormat="1" applyFont="1" applyBorder="1"/>
    <xf numFmtId="166" fontId="2" fillId="0" borderId="0" xfId="0" applyNumberFormat="1" applyFont="1" applyBorder="1"/>
    <xf numFmtId="166" fontId="0" fillId="0" borderId="0" xfId="0" applyNumberFormat="1" applyBorder="1"/>
    <xf numFmtId="0" fontId="1" fillId="0" borderId="0" xfId="0" applyFont="1" applyBorder="1" applyAlignment="1">
      <alignment horizontal="center" wrapText="1"/>
    </xf>
    <xf numFmtId="2" fontId="0" fillId="0" borderId="0" xfId="0" applyNumberFormat="1" applyFill="1" applyBorder="1"/>
    <xf numFmtId="2" fontId="2" fillId="0" borderId="0" xfId="0" applyNumberFormat="1" applyFont="1" applyFill="1" applyBorder="1"/>
    <xf numFmtId="0" fontId="0" fillId="0" borderId="1" xfId="0" applyFill="1" applyBorder="1" applyAlignment="1">
      <alignment horizontal="left"/>
    </xf>
    <xf numFmtId="2" fontId="3" fillId="2" borderId="1" xfId="1" applyNumberFormat="1" applyBorder="1"/>
    <xf numFmtId="0" fontId="0" fillId="0" borderId="0" xfId="0" applyAlignment="1">
      <alignment wrapText="1"/>
    </xf>
    <xf numFmtId="1" fontId="4" fillId="3" borderId="1" xfId="2" quotePrefix="1" applyNumberFormat="1" applyBorder="1" applyAlignment="1">
      <alignment horizontal="center"/>
    </xf>
    <xf numFmtId="1" fontId="4" fillId="3" borderId="1" xfId="2" applyNumberFormat="1" applyBorder="1" applyAlignment="1">
      <alignment horizontal="center"/>
    </xf>
    <xf numFmtId="1" fontId="3" fillId="2" borderId="1" xfId="1" applyNumberFormat="1" applyBorder="1" applyAlignment="1">
      <alignment horizontal="center"/>
    </xf>
    <xf numFmtId="166" fontId="0" fillId="0" borderId="0" xfId="0" quotePrefix="1" applyNumberFormat="1" applyAlignment="1">
      <alignment horizontal="right"/>
    </xf>
    <xf numFmtId="0" fontId="0" fillId="0" borderId="1" xfId="0" applyFill="1" applyBorder="1"/>
    <xf numFmtId="0" fontId="0" fillId="0" borderId="6" xfId="0" applyBorder="1"/>
    <xf numFmtId="0" fontId="1" fillId="0" borderId="7" xfId="0" applyFont="1" applyBorder="1" applyAlignment="1">
      <alignment horizontal="center" wrapText="1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2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2" fontId="0" fillId="0" borderId="3" xfId="0" applyNumberFormat="1" applyBorder="1"/>
    <xf numFmtId="1" fontId="4" fillId="3" borderId="3" xfId="2" quotePrefix="1" applyNumberFormat="1" applyBorder="1" applyAlignment="1">
      <alignment horizontal="center"/>
    </xf>
    <xf numFmtId="2" fontId="3" fillId="2" borderId="3" xfId="1" applyNumberFormat="1" applyBorder="1"/>
    <xf numFmtId="0" fontId="4" fillId="3" borderId="1" xfId="2" applyBorder="1" applyAlignment="1">
      <alignment horizontal="centerContinuous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3" borderId="2" xfId="2" quotePrefix="1" applyBorder="1" applyAlignment="1">
      <alignment horizontal="center" wrapText="1"/>
    </xf>
    <xf numFmtId="0" fontId="3" fillId="2" borderId="2" xfId="1" applyBorder="1" applyAlignment="1">
      <alignment horizontal="center" vertical="center" wrapText="1"/>
    </xf>
    <xf numFmtId="0" fontId="4" fillId="3" borderId="2" xfId="2" applyBorder="1" applyAlignment="1">
      <alignment horizontal="center" wrapText="1"/>
    </xf>
    <xf numFmtId="2" fontId="4" fillId="3" borderId="3" xfId="2" applyNumberFormat="1" applyBorder="1"/>
    <xf numFmtId="2" fontId="4" fillId="3" borderId="1" xfId="2" applyNumberFormat="1" applyBorder="1"/>
    <xf numFmtId="0" fontId="4" fillId="3" borderId="0" xfId="2"/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15</xdr:col>
      <xdr:colOff>228600</xdr:colOff>
      <xdr:row>97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97150"/>
          <a:ext cx="10077450" cy="4419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390525</xdr:colOff>
      <xdr:row>87</xdr:row>
      <xdr:rowOff>123825</xdr:rowOff>
    </xdr:from>
    <xdr:to>
      <xdr:col>15</xdr:col>
      <xdr:colOff>219075</xdr:colOff>
      <xdr:row>87</xdr:row>
      <xdr:rowOff>123825</xdr:rowOff>
    </xdr:to>
    <xdr:cxnSp macro="">
      <xdr:nvCxnSpPr>
        <xdr:cNvPr id="6" name="Straight Connector 5"/>
        <xdr:cNvCxnSpPr/>
      </xdr:nvCxnSpPr>
      <xdr:spPr>
        <a:xfrm>
          <a:off x="8324850" y="19802475"/>
          <a:ext cx="2200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86</xdr:row>
      <xdr:rowOff>104775</xdr:rowOff>
    </xdr:from>
    <xdr:to>
      <xdr:col>15</xdr:col>
      <xdr:colOff>219075</xdr:colOff>
      <xdr:row>86</xdr:row>
      <xdr:rowOff>114300</xdr:rowOff>
    </xdr:to>
    <xdr:cxnSp macro="">
      <xdr:nvCxnSpPr>
        <xdr:cNvPr id="8" name="Straight Connector 7"/>
        <xdr:cNvCxnSpPr/>
      </xdr:nvCxnSpPr>
      <xdr:spPr>
        <a:xfrm flipV="1">
          <a:off x="8324850" y="19592925"/>
          <a:ext cx="22002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86</xdr:row>
      <xdr:rowOff>114300</xdr:rowOff>
    </xdr:from>
    <xdr:to>
      <xdr:col>15</xdr:col>
      <xdr:colOff>9525</xdr:colOff>
      <xdr:row>87</xdr:row>
      <xdr:rowOff>133350</xdr:rowOff>
    </xdr:to>
    <xdr:cxnSp macro="">
      <xdr:nvCxnSpPr>
        <xdr:cNvPr id="10" name="Straight Arrow Connector 9"/>
        <xdr:cNvCxnSpPr/>
      </xdr:nvCxnSpPr>
      <xdr:spPr>
        <a:xfrm>
          <a:off x="10315575" y="19602450"/>
          <a:ext cx="0" cy="2095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75</xdr:row>
      <xdr:rowOff>0</xdr:rowOff>
    </xdr:from>
    <xdr:to>
      <xdr:col>1</xdr:col>
      <xdr:colOff>457200</xdr:colOff>
      <xdr:row>80</xdr:row>
      <xdr:rowOff>47625</xdr:rowOff>
    </xdr:to>
    <xdr:cxnSp macro="">
      <xdr:nvCxnSpPr>
        <xdr:cNvPr id="13" name="Straight Connector 12"/>
        <xdr:cNvCxnSpPr/>
      </xdr:nvCxnSpPr>
      <xdr:spPr>
        <a:xfrm flipH="1" flipV="1">
          <a:off x="2057400" y="17392650"/>
          <a:ext cx="9525" cy="1000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75</xdr:row>
      <xdr:rowOff>28575</xdr:rowOff>
    </xdr:from>
    <xdr:to>
      <xdr:col>1</xdr:col>
      <xdr:colOff>485775</xdr:colOff>
      <xdr:row>80</xdr:row>
      <xdr:rowOff>9525</xdr:rowOff>
    </xdr:to>
    <xdr:cxnSp macro="">
      <xdr:nvCxnSpPr>
        <xdr:cNvPr id="16" name="Straight Connector 15"/>
        <xdr:cNvCxnSpPr/>
      </xdr:nvCxnSpPr>
      <xdr:spPr>
        <a:xfrm flipV="1">
          <a:off x="2095500" y="17421225"/>
          <a:ext cx="0" cy="933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75</xdr:row>
      <xdr:rowOff>66675</xdr:rowOff>
    </xdr:from>
    <xdr:to>
      <xdr:col>1</xdr:col>
      <xdr:colOff>457200</xdr:colOff>
      <xdr:row>75</xdr:row>
      <xdr:rowOff>66675</xdr:rowOff>
    </xdr:to>
    <xdr:cxnSp macro="">
      <xdr:nvCxnSpPr>
        <xdr:cNvPr id="24" name="Straight Arrow Connector 23"/>
        <xdr:cNvCxnSpPr/>
      </xdr:nvCxnSpPr>
      <xdr:spPr>
        <a:xfrm>
          <a:off x="1819275" y="17459325"/>
          <a:ext cx="2476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75</xdr:row>
      <xdr:rowOff>76200</xdr:rowOff>
    </xdr:from>
    <xdr:to>
      <xdr:col>2</xdr:col>
      <xdr:colOff>85725</xdr:colOff>
      <xdr:row>75</xdr:row>
      <xdr:rowOff>76200</xdr:rowOff>
    </xdr:to>
    <xdr:cxnSp macro="">
      <xdr:nvCxnSpPr>
        <xdr:cNvPr id="26" name="Straight Arrow Connector 25"/>
        <xdr:cNvCxnSpPr/>
      </xdr:nvCxnSpPr>
      <xdr:spPr>
        <a:xfrm flipH="1">
          <a:off x="2085975" y="17468850"/>
          <a:ext cx="1905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1247775</xdr:colOff>
      <xdr:row>72</xdr:row>
      <xdr:rowOff>9526</xdr:rowOff>
    </xdr:from>
    <xdr:to>
      <xdr:col>2</xdr:col>
      <xdr:colOff>533400</xdr:colOff>
      <xdr:row>74</xdr:row>
      <xdr:rowOff>104776</xdr:rowOff>
    </xdr:to>
    <xdr:sp macro="" textlink="">
      <xdr:nvSpPr>
        <xdr:cNvPr id="27" name="TextBox 26"/>
        <xdr:cNvSpPr txBox="1"/>
      </xdr:nvSpPr>
      <xdr:spPr>
        <a:xfrm>
          <a:off x="1247775" y="16830676"/>
          <a:ext cx="14763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x-offset of CW1 from mounting bolt</a:t>
          </a:r>
        </a:p>
      </xdr:txBody>
    </xdr:sp>
    <xdr:clientData/>
  </xdr:twoCellAnchor>
  <xdr:twoCellAnchor>
    <xdr:from>
      <xdr:col>14</xdr:col>
      <xdr:colOff>390526</xdr:colOff>
      <xdr:row>87</xdr:row>
      <xdr:rowOff>152399</xdr:rowOff>
    </xdr:from>
    <xdr:to>
      <xdr:col>16</xdr:col>
      <xdr:colOff>485775</xdr:colOff>
      <xdr:row>91</xdr:row>
      <xdr:rowOff>28574</xdr:rowOff>
    </xdr:to>
    <xdr:sp macro="" textlink="">
      <xdr:nvSpPr>
        <xdr:cNvPr id="28" name="TextBox 27"/>
        <xdr:cNvSpPr txBox="1"/>
      </xdr:nvSpPr>
      <xdr:spPr>
        <a:xfrm>
          <a:off x="9715501" y="19831049"/>
          <a:ext cx="1104899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y-offset of CW2 </a:t>
          </a:r>
        </a:p>
        <a:p>
          <a:r>
            <a:rPr lang="en-US" sz="1100"/>
            <a:t>from mounting bolt</a:t>
          </a:r>
        </a:p>
      </xdr:txBody>
    </xdr:sp>
    <xdr:clientData/>
  </xdr:twoCellAnchor>
  <xdr:twoCellAnchor>
    <xdr:from>
      <xdr:col>5</xdr:col>
      <xdr:colOff>190500</xdr:colOff>
      <xdr:row>81</xdr:row>
      <xdr:rowOff>95250</xdr:rowOff>
    </xdr:from>
    <xdr:to>
      <xdr:col>6</xdr:col>
      <xdr:colOff>676275</xdr:colOff>
      <xdr:row>84</xdr:row>
      <xdr:rowOff>0</xdr:rowOff>
    </xdr:to>
    <xdr:sp macro="" textlink="">
      <xdr:nvSpPr>
        <xdr:cNvPr id="30" name="TextBox 29"/>
        <xdr:cNvSpPr txBox="1"/>
      </xdr:nvSpPr>
      <xdr:spPr>
        <a:xfrm>
          <a:off x="4476750" y="18630900"/>
          <a:ext cx="11049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CG of suspended OFI optics table</a:t>
          </a:r>
        </a:p>
      </xdr:txBody>
    </xdr:sp>
    <xdr:clientData/>
  </xdr:twoCellAnchor>
  <xdr:twoCellAnchor>
    <xdr:from>
      <xdr:col>6</xdr:col>
      <xdr:colOff>190500</xdr:colOff>
      <xdr:row>84</xdr:row>
      <xdr:rowOff>0</xdr:rowOff>
    </xdr:from>
    <xdr:to>
      <xdr:col>6</xdr:col>
      <xdr:colOff>190500</xdr:colOff>
      <xdr:row>86</xdr:row>
      <xdr:rowOff>0</xdr:rowOff>
    </xdr:to>
    <xdr:cxnSp macro="">
      <xdr:nvCxnSpPr>
        <xdr:cNvPr id="32" name="Straight Arrow Connector 31"/>
        <xdr:cNvCxnSpPr>
          <a:stCxn id="30" idx="2"/>
        </xdr:cNvCxnSpPr>
      </xdr:nvCxnSpPr>
      <xdr:spPr>
        <a:xfrm flipH="1">
          <a:off x="5095875" y="19107150"/>
          <a:ext cx="0" cy="381000"/>
        </a:xfrm>
        <a:prstGeom prst="straightConnector1">
          <a:avLst/>
        </a:prstGeom>
        <a:ln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80</xdr:row>
      <xdr:rowOff>152400</xdr:rowOff>
    </xdr:from>
    <xdr:to>
      <xdr:col>1</xdr:col>
      <xdr:colOff>542925</xdr:colOff>
      <xdr:row>82</xdr:row>
      <xdr:rowOff>0</xdr:rowOff>
    </xdr:to>
    <xdr:sp macro="" textlink="">
      <xdr:nvSpPr>
        <xdr:cNvPr id="34" name="TextBox 33"/>
        <xdr:cNvSpPr txBox="1"/>
      </xdr:nvSpPr>
      <xdr:spPr>
        <a:xfrm>
          <a:off x="1619250" y="18497550"/>
          <a:ext cx="5334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CW1</a:t>
          </a:r>
        </a:p>
      </xdr:txBody>
    </xdr:sp>
    <xdr:clientData/>
  </xdr:twoCellAnchor>
  <xdr:twoCellAnchor>
    <xdr:from>
      <xdr:col>12</xdr:col>
      <xdr:colOff>9525</xdr:colOff>
      <xdr:row>83</xdr:row>
      <xdr:rowOff>19050</xdr:rowOff>
    </xdr:from>
    <xdr:to>
      <xdr:col>12</xdr:col>
      <xdr:colOff>542925</xdr:colOff>
      <xdr:row>84</xdr:row>
      <xdr:rowOff>57150</xdr:rowOff>
    </xdr:to>
    <xdr:sp macro="" textlink="">
      <xdr:nvSpPr>
        <xdr:cNvPr id="35" name="TextBox 34"/>
        <xdr:cNvSpPr txBox="1"/>
      </xdr:nvSpPr>
      <xdr:spPr>
        <a:xfrm>
          <a:off x="8067675" y="18935700"/>
          <a:ext cx="5334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CW2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Normal="100" zoomScalePageLayoutView="75" workbookViewId="0">
      <selection activeCell="S90" sqref="S90"/>
    </sheetView>
  </sheetViews>
  <sheetFormatPr defaultRowHeight="15"/>
  <cols>
    <col min="1" max="1" width="24.140625" customWidth="1"/>
    <col min="2" max="2" width="8.7109375" customWidth="1"/>
    <col min="3" max="3" width="11.5703125" customWidth="1"/>
    <col min="4" max="4" width="10.85546875" customWidth="1"/>
    <col min="5" max="5" width="9" customWidth="1"/>
    <col min="6" max="6" width="9.28515625" customWidth="1"/>
    <col min="7" max="7" width="10.28515625" customWidth="1"/>
    <col min="8" max="8" width="10.85546875" customWidth="1"/>
    <col min="9" max="9" width="3" bestFit="1" customWidth="1"/>
    <col min="10" max="10" width="4.5703125" bestFit="1" customWidth="1"/>
    <col min="11" max="11" width="9.85546875" customWidth="1"/>
    <col min="12" max="12" width="8.7109375" customWidth="1"/>
    <col min="13" max="13" width="9.42578125" customWidth="1"/>
    <col min="14" max="14" width="9.5703125" customWidth="1"/>
    <col min="15" max="15" width="7.85546875" customWidth="1"/>
    <col min="16" max="16" width="7.28515625" customWidth="1"/>
    <col min="17" max="17" width="7.85546875" customWidth="1"/>
    <col min="18" max="18" width="6.7109375" customWidth="1"/>
    <col min="19" max="19" width="11" customWidth="1"/>
    <col min="20" max="20" width="11.42578125" customWidth="1"/>
    <col min="21" max="21" width="9.28515625" customWidth="1"/>
    <col min="22" max="23" width="9.42578125" customWidth="1"/>
    <col min="24" max="24" width="8.42578125" customWidth="1"/>
    <col min="25" max="25" width="11.85546875" customWidth="1"/>
    <col min="26" max="26" width="12" customWidth="1"/>
  </cols>
  <sheetData>
    <row r="1" spans="1:7">
      <c r="A1" t="s">
        <v>43</v>
      </c>
    </row>
    <row r="2" spans="1:7">
      <c r="A2" s="32">
        <v>41505</v>
      </c>
    </row>
    <row r="3" spans="1:7">
      <c r="A3" s="32"/>
    </row>
    <row r="4" spans="1:7">
      <c r="A4" s="32" t="s">
        <v>60</v>
      </c>
    </row>
    <row r="5" spans="1:7">
      <c r="A5" s="32"/>
    </row>
    <row r="6" spans="1:7">
      <c r="A6" s="32" t="s">
        <v>61</v>
      </c>
      <c r="B6" t="s">
        <v>72</v>
      </c>
    </row>
    <row r="7" spans="1:7">
      <c r="A7" s="32" t="s">
        <v>62</v>
      </c>
      <c r="B7" t="s">
        <v>63</v>
      </c>
    </row>
    <row r="8" spans="1:7">
      <c r="A8" s="32" t="s">
        <v>64</v>
      </c>
      <c r="B8" t="s">
        <v>65</v>
      </c>
    </row>
    <row r="9" spans="1:7">
      <c r="A9" s="32" t="s">
        <v>66</v>
      </c>
      <c r="B9" t="s">
        <v>68</v>
      </c>
    </row>
    <row r="10" spans="1:7">
      <c r="A10" s="32" t="s">
        <v>67</v>
      </c>
      <c r="B10" t="s">
        <v>74</v>
      </c>
    </row>
    <row r="11" spans="1:7">
      <c r="A11" s="32" t="s">
        <v>69</v>
      </c>
      <c r="B11" t="s">
        <v>71</v>
      </c>
    </row>
    <row r="12" spans="1:7">
      <c r="A12" s="32" t="s">
        <v>73</v>
      </c>
      <c r="B12" t="s">
        <v>70</v>
      </c>
    </row>
    <row r="13" spans="1:7">
      <c r="A13" s="32"/>
      <c r="B13" t="s">
        <v>75</v>
      </c>
    </row>
    <row r="14" spans="1:7">
      <c r="A14" s="32"/>
    </row>
    <row r="15" spans="1:7">
      <c r="A15" s="32"/>
    </row>
    <row r="16" spans="1:7">
      <c r="B16" s="18"/>
      <c r="C16" s="18"/>
      <c r="D16" s="18"/>
      <c r="F16" s="18"/>
      <c r="G16" s="18"/>
    </row>
    <row r="17" spans="1:26">
      <c r="A17" t="s">
        <v>41</v>
      </c>
      <c r="B17" t="s">
        <v>42</v>
      </c>
      <c r="F17" s="17"/>
      <c r="G17" s="17"/>
    </row>
    <row r="18" spans="1:26">
      <c r="F18" s="17"/>
      <c r="G18" s="17"/>
    </row>
    <row r="19" spans="1:26">
      <c r="A19" s="43" t="s">
        <v>18</v>
      </c>
      <c r="B19" t="s">
        <v>21</v>
      </c>
      <c r="E19" s="17">
        <v>-0.48699999999999999</v>
      </c>
      <c r="F19" s="17"/>
      <c r="G19" s="17"/>
    </row>
    <row r="20" spans="1:26">
      <c r="A20" s="43" t="s">
        <v>18</v>
      </c>
      <c r="B20" t="s">
        <v>22</v>
      </c>
      <c r="E20" s="17">
        <v>-7.5999999999999998E-2</v>
      </c>
      <c r="F20" s="17"/>
      <c r="G20" s="17"/>
    </row>
    <row r="21" spans="1:26">
      <c r="A21" s="43" t="s">
        <v>37</v>
      </c>
      <c r="B21" t="s">
        <v>46</v>
      </c>
      <c r="E21" s="10">
        <v>34.896999999999998</v>
      </c>
      <c r="F21" s="17"/>
      <c r="G21" s="17"/>
    </row>
    <row r="22" spans="1:26" ht="30">
      <c r="A22" s="43" t="s">
        <v>38</v>
      </c>
      <c r="B22" t="s">
        <v>46</v>
      </c>
      <c r="E22" s="17">
        <f>2*0.1</f>
        <v>0.2</v>
      </c>
      <c r="F22" s="17"/>
      <c r="G22" s="17"/>
    </row>
    <row r="23" spans="1:26" ht="30">
      <c r="A23" s="43" t="s">
        <v>39</v>
      </c>
      <c r="B23" t="s">
        <v>3</v>
      </c>
      <c r="E23" s="17">
        <f>E21+E22</f>
        <v>35.097000000000001</v>
      </c>
      <c r="F23" s="17"/>
      <c r="G23" s="17"/>
    </row>
    <row r="24" spans="1:26">
      <c r="A24" s="43" t="s">
        <v>19</v>
      </c>
      <c r="B24" t="s">
        <v>23</v>
      </c>
      <c r="E24" s="47">
        <f>5.742/2</f>
        <v>2.871</v>
      </c>
      <c r="F24" s="17"/>
      <c r="G24" s="17"/>
    </row>
    <row r="25" spans="1:26" ht="30">
      <c r="A25" s="43" t="s">
        <v>20</v>
      </c>
      <c r="B25" t="s">
        <v>24</v>
      </c>
      <c r="E25" s="17">
        <v>3.3079999999999998</v>
      </c>
      <c r="F25" s="17"/>
      <c r="G25" s="17"/>
    </row>
    <row r="26" spans="1:26">
      <c r="A26" s="43" t="s">
        <v>44</v>
      </c>
      <c r="B26" t="s">
        <v>45</v>
      </c>
      <c r="E26" s="10">
        <v>6.1</v>
      </c>
      <c r="F26" s="17"/>
      <c r="G26" s="17"/>
    </row>
    <row r="27" spans="1:26">
      <c r="A27" s="43" t="s">
        <v>51</v>
      </c>
      <c r="B27" t="s">
        <v>10</v>
      </c>
      <c r="E27" s="10">
        <v>7.56</v>
      </c>
      <c r="F27" s="17"/>
      <c r="G27" s="17"/>
    </row>
    <row r="28" spans="1:26">
      <c r="A28" s="43" t="s">
        <v>52</v>
      </c>
      <c r="B28" t="s">
        <v>9</v>
      </c>
      <c r="E28" s="10">
        <v>2.75</v>
      </c>
      <c r="F28" s="17"/>
      <c r="G28" s="17"/>
    </row>
    <row r="29" spans="1:26" ht="30">
      <c r="A29" s="43" t="s">
        <v>55</v>
      </c>
      <c r="E29" s="10">
        <v>2.028</v>
      </c>
      <c r="F29" s="17"/>
      <c r="G29" s="17"/>
    </row>
    <row r="30" spans="1:26" ht="30">
      <c r="A30" s="43" t="s">
        <v>56</v>
      </c>
      <c r="E30" s="10">
        <v>1.125</v>
      </c>
      <c r="F30" s="17"/>
      <c r="G30" s="17"/>
    </row>
    <row r="31" spans="1:26">
      <c r="E31" s="17"/>
      <c r="F31" s="17"/>
      <c r="G31" s="17"/>
    </row>
    <row r="32" spans="1:26" ht="30">
      <c r="A32" s="31" t="s">
        <v>17</v>
      </c>
      <c r="B32" s="29">
        <v>9.35E-2</v>
      </c>
      <c r="C32" s="29"/>
      <c r="D32" s="29"/>
      <c r="E32" s="1"/>
      <c r="F32" s="1"/>
      <c r="G32" s="1"/>
      <c r="H32" s="1"/>
      <c r="I32" s="4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30" t="s">
        <v>16</v>
      </c>
      <c r="B33" s="1">
        <v>9.8000000000000007</v>
      </c>
      <c r="C33" s="1"/>
      <c r="D33" s="1"/>
      <c r="E33" s="1"/>
      <c r="F33" s="1"/>
      <c r="G33" s="1"/>
      <c r="H33" s="1"/>
      <c r="I33" s="4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45.75" thickBot="1">
      <c r="A34" s="8"/>
      <c r="B34" s="8" t="s">
        <v>0</v>
      </c>
      <c r="C34" s="8"/>
      <c r="D34" s="8"/>
      <c r="E34" s="8" t="s">
        <v>4</v>
      </c>
      <c r="F34" s="8" t="s">
        <v>5</v>
      </c>
      <c r="G34" s="8" t="s">
        <v>15</v>
      </c>
      <c r="H34" s="8" t="s">
        <v>2</v>
      </c>
      <c r="I34" s="50"/>
      <c r="J34" s="38"/>
      <c r="K34" s="38"/>
      <c r="L34" s="38"/>
      <c r="M34" s="11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thickTop="1">
      <c r="A35" s="1"/>
      <c r="B35" s="5">
        <v>11</v>
      </c>
      <c r="C35" s="5"/>
      <c r="D35" s="5"/>
      <c r="E35" s="21">
        <f>$E$26+3.12</f>
        <v>9.2199999999999989</v>
      </c>
      <c r="F35" s="21">
        <f>E35*2.205</f>
        <v>20.330099999999998</v>
      </c>
      <c r="G35" s="9"/>
      <c r="H35" s="9"/>
      <c r="I35" s="51"/>
      <c r="J35" s="53"/>
      <c r="K35" s="53"/>
      <c r="L35" s="53"/>
      <c r="M35" s="1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3"/>
      <c r="Z35" s="11"/>
    </row>
    <row r="36" spans="1:26">
      <c r="A36" s="1"/>
      <c r="B36" s="23">
        <v>12</v>
      </c>
      <c r="C36" s="5"/>
      <c r="D36" s="5"/>
      <c r="E36" s="21">
        <f>$E$26+3.12</f>
        <v>9.2199999999999989</v>
      </c>
      <c r="F36" s="21">
        <f t="shared" ref="F36:F44" si="0">E36*2.205</f>
        <v>20.330099999999998</v>
      </c>
      <c r="G36" s="9"/>
      <c r="H36" s="9"/>
      <c r="I36" s="52"/>
      <c r="J36" s="53"/>
      <c r="K36" s="53"/>
      <c r="L36" s="53"/>
      <c r="M36" s="11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13"/>
      <c r="Z36" s="11"/>
    </row>
    <row r="37" spans="1:26">
      <c r="A37" s="1"/>
      <c r="B37" s="1">
        <v>13</v>
      </c>
      <c r="C37" s="5"/>
      <c r="D37" s="5"/>
      <c r="E37" s="21">
        <f>$E$26+3.05</f>
        <v>9.1499999999999986</v>
      </c>
      <c r="F37" s="21">
        <f t="shared" si="0"/>
        <v>20.175749999999997</v>
      </c>
      <c r="G37" s="9"/>
      <c r="H37" s="9"/>
      <c r="I37" s="52"/>
      <c r="J37" s="53"/>
      <c r="K37" s="53"/>
      <c r="L37" s="53"/>
      <c r="M37" s="11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13"/>
      <c r="Z37" s="11"/>
    </row>
    <row r="38" spans="1:26">
      <c r="A38" s="1"/>
      <c r="B38" s="1">
        <v>14</v>
      </c>
      <c r="C38" s="5"/>
      <c r="D38" s="5"/>
      <c r="E38" s="21">
        <f>$E$26+3.07</f>
        <v>9.17</v>
      </c>
      <c r="F38" s="21">
        <f t="shared" si="0"/>
        <v>20.219850000000001</v>
      </c>
      <c r="G38" s="9"/>
      <c r="H38" s="9"/>
      <c r="I38" s="52"/>
      <c r="J38" s="53"/>
      <c r="K38" s="53"/>
      <c r="L38" s="53"/>
      <c r="M38" s="11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3"/>
      <c r="Z38" s="11"/>
    </row>
    <row r="39" spans="1:26">
      <c r="A39" s="1"/>
      <c r="B39" s="1">
        <v>15</v>
      </c>
      <c r="C39" s="5"/>
      <c r="D39" s="5"/>
      <c r="E39" s="21">
        <f>$E$26+3.07</f>
        <v>9.17</v>
      </c>
      <c r="F39" s="21">
        <f t="shared" si="0"/>
        <v>20.219850000000001</v>
      </c>
      <c r="G39" s="9"/>
      <c r="H39" s="9"/>
      <c r="I39" s="52"/>
      <c r="J39" s="53"/>
      <c r="K39" s="53"/>
      <c r="L39" s="53"/>
      <c r="M39" s="11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13"/>
      <c r="Z39" s="11"/>
    </row>
    <row r="40" spans="1:26">
      <c r="A40" s="1"/>
      <c r="B40" s="1">
        <v>16</v>
      </c>
      <c r="C40" s="5"/>
      <c r="D40" s="5"/>
      <c r="E40" s="21">
        <f>$E$26+2.97</f>
        <v>9.07</v>
      </c>
      <c r="F40" s="21">
        <f t="shared" si="0"/>
        <v>19.99935</v>
      </c>
      <c r="G40" s="9"/>
      <c r="H40" s="9"/>
      <c r="I40" s="52"/>
      <c r="J40" s="53"/>
      <c r="K40" s="53"/>
      <c r="L40" s="53"/>
      <c r="M40" s="11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13"/>
      <c r="Z40" s="11"/>
    </row>
    <row r="41" spans="1:26">
      <c r="A41" s="1"/>
      <c r="B41" s="1">
        <v>17</v>
      </c>
      <c r="C41" s="5"/>
      <c r="D41" s="5"/>
      <c r="E41" s="21">
        <f>$E$26+3.1</f>
        <v>9.1999999999999993</v>
      </c>
      <c r="F41" s="21">
        <f t="shared" si="0"/>
        <v>20.285999999999998</v>
      </c>
      <c r="G41" s="9"/>
      <c r="H41" s="9"/>
      <c r="I41" s="52"/>
      <c r="J41" s="53"/>
      <c r="K41" s="53"/>
      <c r="L41" s="53"/>
      <c r="M41" s="11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13"/>
      <c r="Z41" s="11"/>
    </row>
    <row r="42" spans="1:26">
      <c r="A42" s="1"/>
      <c r="B42" s="1">
        <v>18</v>
      </c>
      <c r="C42" s="5"/>
      <c r="D42" s="5"/>
      <c r="E42" s="21">
        <f>$E$26+2.89</f>
        <v>8.99</v>
      </c>
      <c r="F42" s="21">
        <f t="shared" si="0"/>
        <v>19.822950000000002</v>
      </c>
      <c r="G42" s="9"/>
      <c r="H42" s="9"/>
      <c r="I42" s="52"/>
      <c r="J42" s="53"/>
      <c r="K42" s="53"/>
      <c r="L42" s="53"/>
      <c r="M42" s="11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3"/>
      <c r="Z42" s="11"/>
    </row>
    <row r="43" spans="1:26">
      <c r="A43" s="1"/>
      <c r="B43" s="1">
        <v>19</v>
      </c>
      <c r="C43" s="5"/>
      <c r="D43" s="5"/>
      <c r="E43" s="21">
        <f>$E$26+3.09</f>
        <v>9.19</v>
      </c>
      <c r="F43" s="21">
        <f t="shared" si="0"/>
        <v>20.263950000000001</v>
      </c>
      <c r="G43" s="9"/>
      <c r="H43" s="9"/>
      <c r="I43" s="52"/>
      <c r="J43" s="53"/>
      <c r="K43" s="53"/>
      <c r="L43" s="53"/>
      <c r="M43" s="1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3"/>
      <c r="Z43" s="11"/>
    </row>
    <row r="44" spans="1:26">
      <c r="A44" s="1"/>
      <c r="B44" s="23">
        <v>20</v>
      </c>
      <c r="C44" s="5"/>
      <c r="D44" s="5"/>
      <c r="E44" s="21">
        <f>$E$26+3.22</f>
        <v>9.32</v>
      </c>
      <c r="F44" s="21">
        <f t="shared" si="0"/>
        <v>20.550600000000003</v>
      </c>
      <c r="G44" s="9"/>
      <c r="H44" s="9"/>
      <c r="I44" s="52"/>
      <c r="J44" s="53"/>
      <c r="K44" s="53"/>
      <c r="L44" s="53"/>
      <c r="M44" s="11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13"/>
      <c r="Z44" s="11"/>
    </row>
    <row r="45" spans="1:26">
      <c r="A45" s="1"/>
      <c r="B45" s="1"/>
      <c r="C45" s="1"/>
      <c r="D45" s="1"/>
      <c r="E45" s="4"/>
      <c r="F45" s="21"/>
      <c r="G45" s="9"/>
      <c r="H45" s="9"/>
      <c r="I45" s="52"/>
      <c r="J45" s="53"/>
      <c r="K45" s="53"/>
      <c r="L45" s="53"/>
      <c r="M45" s="11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13"/>
      <c r="Z45" s="11"/>
    </row>
    <row r="46" spans="1:26" ht="75.75" thickBot="1">
      <c r="A46" s="28" t="s">
        <v>1</v>
      </c>
      <c r="B46" s="8" t="s">
        <v>0</v>
      </c>
      <c r="C46" s="8" t="s">
        <v>47</v>
      </c>
      <c r="D46" s="8" t="s">
        <v>50</v>
      </c>
      <c r="E46" s="8" t="s">
        <v>4</v>
      </c>
      <c r="F46" s="8" t="s">
        <v>5</v>
      </c>
      <c r="G46" s="8" t="s">
        <v>25</v>
      </c>
      <c r="H46" s="8" t="s">
        <v>8</v>
      </c>
      <c r="I46" s="8"/>
      <c r="J46" s="8"/>
      <c r="K46" s="8" t="s">
        <v>57</v>
      </c>
      <c r="L46" s="8" t="s">
        <v>54</v>
      </c>
      <c r="M46" s="8" t="s">
        <v>26</v>
      </c>
      <c r="N46" s="8" t="s">
        <v>11</v>
      </c>
      <c r="O46" s="8" t="s">
        <v>6</v>
      </c>
      <c r="P46" s="67" t="s">
        <v>7</v>
      </c>
      <c r="Q46" s="8" t="s">
        <v>13</v>
      </c>
      <c r="R46" s="67" t="s">
        <v>12</v>
      </c>
      <c r="S46" s="8" t="s">
        <v>59</v>
      </c>
      <c r="T46" s="8" t="s">
        <v>14</v>
      </c>
    </row>
    <row r="47" spans="1:26" ht="15.75" thickTop="1">
      <c r="A47" s="24">
        <v>1</v>
      </c>
      <c r="B47" s="1">
        <v>11</v>
      </c>
      <c r="C47" s="1" t="s">
        <v>48</v>
      </c>
      <c r="D47" s="1"/>
      <c r="E47" s="2">
        <f>E35</f>
        <v>9.2199999999999989</v>
      </c>
      <c r="F47" s="21">
        <f t="shared" ref="F47:F56" si="1">E47*2.205</f>
        <v>20.330099999999998</v>
      </c>
      <c r="G47" s="34">
        <f>H47+7.125</f>
        <v>0.21839815950920283</v>
      </c>
      <c r="H47" s="22">
        <f>(-P47*$E$27-$E$23*$E$19-(F47-F48)*$E$24)/R47</f>
        <v>-6.9066018404907972</v>
      </c>
      <c r="I47" s="22"/>
      <c r="J47" s="54"/>
      <c r="K47" s="54">
        <f>H47+$E$30</f>
        <v>-5.7816018404907972</v>
      </c>
      <c r="L47" s="54">
        <f>N47+$E$29</f>
        <v>1.5439658666666667</v>
      </c>
      <c r="M47" s="55">
        <f>N47-0.091</f>
        <v>-0.57503413333333331</v>
      </c>
      <c r="N47" s="54">
        <f>-(R47*$E$28+$E$23*$E$20)/P47</f>
        <v>-0.48403413333333334</v>
      </c>
      <c r="O47" s="56">
        <f>(-H47*(F47+F48-$E$23)+F47*(-$E$24)+F48*$E$24-$E$23*$E$19)/($E$27-H47)</f>
        <v>3.8374627968011423</v>
      </c>
      <c r="P47" s="68">
        <v>3.75</v>
      </c>
      <c r="Q47" s="21">
        <f>F47+F48-$E$23-$O47</f>
        <v>1.7257372031988525</v>
      </c>
      <c r="R47" s="70">
        <v>1.63</v>
      </c>
      <c r="S47" s="56">
        <f>P47+R47</f>
        <v>5.38</v>
      </c>
      <c r="T47" s="21">
        <f>F47+F48-$E$23</f>
        <v>5.5631999999999948</v>
      </c>
    </row>
    <row r="48" spans="1:26">
      <c r="A48" s="3"/>
      <c r="B48" s="1">
        <v>12</v>
      </c>
      <c r="C48" s="1" t="s">
        <v>49</v>
      </c>
      <c r="D48" s="2">
        <f>F47-F48</f>
        <v>0</v>
      </c>
      <c r="E48" s="2">
        <f>E36</f>
        <v>9.2199999999999989</v>
      </c>
      <c r="F48" s="21">
        <f t="shared" si="1"/>
        <v>20.330099999999998</v>
      </c>
      <c r="G48" s="34"/>
      <c r="H48" s="2"/>
      <c r="I48" s="2"/>
      <c r="J48" s="2"/>
      <c r="K48" s="2"/>
      <c r="L48" s="2"/>
      <c r="M48" s="15"/>
      <c r="N48" s="2"/>
      <c r="O48" s="2"/>
      <c r="P48" s="69"/>
      <c r="Q48" s="4"/>
      <c r="R48" s="69"/>
      <c r="S48" s="2"/>
      <c r="T48" s="4"/>
    </row>
    <row r="49" spans="1:26">
      <c r="A49" s="3">
        <v>2</v>
      </c>
      <c r="B49" s="1">
        <v>13</v>
      </c>
      <c r="C49" s="1" t="s">
        <v>48</v>
      </c>
      <c r="D49" s="2">
        <f>F50-F49</f>
        <v>4.4100000000003803E-2</v>
      </c>
      <c r="E49" s="2">
        <f>E37</f>
        <v>9.1499999999999986</v>
      </c>
      <c r="F49" s="21">
        <f t="shared" si="1"/>
        <v>20.175749999999997</v>
      </c>
      <c r="G49" s="34">
        <f>H49+7.125</f>
        <v>0.29607368098160158</v>
      </c>
      <c r="H49" s="22">
        <f>(-P49*$E$27-$E$23*$E$19-(F49-F50)*$E$24)/R49</f>
        <v>-6.8289263190183984</v>
      </c>
      <c r="I49" s="22"/>
      <c r="J49" s="22"/>
      <c r="K49" s="22">
        <f>H49+$E$30</f>
        <v>-5.7039263190183984</v>
      </c>
      <c r="L49" s="22">
        <f>N49+$E$29</f>
        <v>1.5439658666666667</v>
      </c>
      <c r="M49" s="19">
        <f>N49-0.091</f>
        <v>-0.57503413333333331</v>
      </c>
      <c r="N49" s="22">
        <f>-(R49*$E$28+$E$23*$E$20)/P49</f>
        <v>-0.48403413333333334</v>
      </c>
      <c r="O49" s="2">
        <f>(-H49*(F49+F50-$E$23)+F49*(-$E$24)+F50*$E$24-$E$23*$E$19)/($E$27-H49)</f>
        <v>3.711367888746961</v>
      </c>
      <c r="P49" s="69">
        <v>3.75</v>
      </c>
      <c r="Q49" s="4">
        <f>F49+F50-$E$23-$P49</f>
        <v>1.5486000000000004</v>
      </c>
      <c r="R49" s="70">
        <v>1.63</v>
      </c>
      <c r="S49" s="2">
        <f>P49+R49</f>
        <v>5.38</v>
      </c>
      <c r="T49" s="4">
        <f>F49+F50-$E$23</f>
        <v>5.2986000000000004</v>
      </c>
    </row>
    <row r="50" spans="1:26">
      <c r="A50" s="3"/>
      <c r="B50" s="1">
        <v>14</v>
      </c>
      <c r="C50" s="1" t="s">
        <v>49</v>
      </c>
      <c r="E50" s="2">
        <f>E38</f>
        <v>9.17</v>
      </c>
      <c r="F50" s="21">
        <f t="shared" si="1"/>
        <v>20.219850000000001</v>
      </c>
      <c r="G50" s="34"/>
      <c r="H50" s="2"/>
      <c r="I50" s="2"/>
      <c r="J50" s="2"/>
      <c r="K50" s="2"/>
      <c r="L50" s="2"/>
      <c r="M50" s="15"/>
      <c r="N50" s="2"/>
      <c r="O50" s="2"/>
      <c r="P50" s="69"/>
      <c r="Q50" s="4"/>
      <c r="R50" s="69"/>
      <c r="S50" s="2"/>
      <c r="T50" s="4"/>
    </row>
    <row r="51" spans="1:26">
      <c r="A51" s="3">
        <v>3</v>
      </c>
      <c r="B51" s="1">
        <v>15</v>
      </c>
      <c r="C51" s="1" t="s">
        <v>48</v>
      </c>
      <c r="D51" s="2">
        <f>F52-F51</f>
        <v>4.410000000000025E-2</v>
      </c>
      <c r="E51" s="2">
        <f>E39</f>
        <v>9.17</v>
      </c>
      <c r="F51" s="21">
        <f t="shared" si="1"/>
        <v>20.219850000000001</v>
      </c>
      <c r="G51" s="34">
        <f>H51+7.125</f>
        <v>-0.29576659999999944</v>
      </c>
      <c r="H51" s="22">
        <f>(-P51*$E$27-$E$23*$E$19-(F51-F52)*$E$24)/R51</f>
        <v>-7.4207665999999994</v>
      </c>
      <c r="I51" s="22"/>
      <c r="J51" s="22"/>
      <c r="K51" s="22">
        <f>H51+$E$30</f>
        <v>-6.2957665999999994</v>
      </c>
      <c r="L51" s="22">
        <f>N51+$E$29</f>
        <v>1.6392992</v>
      </c>
      <c r="M51" s="19">
        <f>N51-0.091</f>
        <v>-0.47970080000000004</v>
      </c>
      <c r="N51" s="22">
        <f>-(R51*$E$28+$E$23*$E$20)/P51</f>
        <v>-0.38870080000000001</v>
      </c>
      <c r="O51" s="2">
        <f>(-H51*(F51+F52-$E$23)+F51*(-$E$24)+F52*$E$24-$E$23*$E$19)/($E$27-H51)</f>
        <v>3.8177642805595817</v>
      </c>
      <c r="P51" s="69">
        <v>3.75</v>
      </c>
      <c r="Q51" s="4">
        <f>F51+F52-$E$23-$P51</f>
        <v>1.6368000000000009</v>
      </c>
      <c r="R51" s="70">
        <v>1.5</v>
      </c>
      <c r="S51" s="2">
        <f>P51+R51</f>
        <v>5.25</v>
      </c>
      <c r="T51" s="4">
        <f>F51+F52-$E$23</f>
        <v>5.3868000000000009</v>
      </c>
    </row>
    <row r="52" spans="1:26">
      <c r="A52" s="3"/>
      <c r="B52" s="7">
        <v>19</v>
      </c>
      <c r="C52" s="1" t="s">
        <v>49</v>
      </c>
      <c r="D52" s="1"/>
      <c r="E52" s="4">
        <f>E43</f>
        <v>9.19</v>
      </c>
      <c r="F52" s="21">
        <f t="shared" si="1"/>
        <v>20.263950000000001</v>
      </c>
      <c r="G52" s="34"/>
      <c r="H52" s="4"/>
      <c r="I52" s="4"/>
      <c r="J52" s="4"/>
      <c r="K52" s="4"/>
      <c r="L52" s="4"/>
      <c r="M52" s="15"/>
      <c r="N52" s="2"/>
      <c r="O52" s="2"/>
      <c r="P52" s="69"/>
      <c r="Q52" s="4"/>
      <c r="R52" s="69"/>
      <c r="S52" s="2"/>
      <c r="T52" s="4"/>
    </row>
    <row r="53" spans="1:26" s="27" customFormat="1">
      <c r="A53" s="16">
        <v>4</v>
      </c>
      <c r="B53" s="7">
        <v>16</v>
      </c>
      <c r="C53" s="1" t="s">
        <v>48</v>
      </c>
      <c r="D53" s="48"/>
      <c r="E53" s="4">
        <f>E40</f>
        <v>9.07</v>
      </c>
      <c r="F53" s="21">
        <f t="shared" si="1"/>
        <v>19.99935</v>
      </c>
      <c r="G53" s="34">
        <f>H53+7.125</f>
        <v>-3.0221304347819888E-2</v>
      </c>
      <c r="H53" s="22">
        <f>(-P53*$E$27-$E$23*$E$19-(F53-F54)*$E$24)/R53</f>
        <v>-7.1552213043478199</v>
      </c>
      <c r="I53" s="22"/>
      <c r="J53" s="22"/>
      <c r="K53" s="22">
        <f>H53+$E$30</f>
        <v>-6.0302213043478199</v>
      </c>
      <c r="L53" s="22">
        <f>N53+$E$29</f>
        <v>1.7058205714285715</v>
      </c>
      <c r="M53" s="19">
        <f>N53-0.091</f>
        <v>-0.41317942857142864</v>
      </c>
      <c r="N53" s="22">
        <f>-(R53*$E$28+$E$23*$E$20)/P53</f>
        <v>-0.32217942857142862</v>
      </c>
      <c r="O53" s="2">
        <f>(-H53*(F53+F54-$E$23)+F53*(-$E$24)+F54*$E$24-$E$23*$E$19)/($E$27-H53)</f>
        <v>3.4247777037878748</v>
      </c>
      <c r="P53" s="69">
        <v>3.5</v>
      </c>
      <c r="Q53" s="4">
        <f>F53+F54-$E$23-$P53</f>
        <v>1.2252999999999972</v>
      </c>
      <c r="R53" s="70">
        <v>1.38</v>
      </c>
      <c r="S53" s="2">
        <f>P53+R53</f>
        <v>4.88</v>
      </c>
      <c r="T53" s="4">
        <f>F53+F54-$E$23</f>
        <v>4.7252999999999972</v>
      </c>
    </row>
    <row r="54" spans="1:26" s="27" customFormat="1">
      <c r="A54" s="16"/>
      <c r="B54" s="1">
        <v>18</v>
      </c>
      <c r="C54" s="1" t="s">
        <v>49</v>
      </c>
      <c r="D54" s="2">
        <f>F53-F54</f>
        <v>0.17639999999999745</v>
      </c>
      <c r="E54" s="4">
        <f>E42</f>
        <v>8.99</v>
      </c>
      <c r="F54" s="21">
        <f t="shared" si="1"/>
        <v>19.822950000000002</v>
      </c>
      <c r="G54" s="34"/>
      <c r="H54" s="25"/>
      <c r="I54" s="25"/>
      <c r="J54" s="25"/>
      <c r="K54" s="25"/>
      <c r="L54" s="25"/>
      <c r="M54" s="33"/>
      <c r="N54" s="25"/>
      <c r="O54" s="25"/>
      <c r="P54" s="69"/>
      <c r="Q54" s="26"/>
      <c r="R54" s="69"/>
      <c r="S54" s="25"/>
      <c r="T54" s="26"/>
    </row>
    <row r="55" spans="1:26">
      <c r="A55" s="3">
        <v>5</v>
      </c>
      <c r="B55" s="1">
        <v>17</v>
      </c>
      <c r="C55" s="1" t="s">
        <v>48</v>
      </c>
      <c r="D55" s="2">
        <f>F56-F55</f>
        <v>0.26460000000000505</v>
      </c>
      <c r="E55" s="2">
        <f>E41</f>
        <v>9.1999999999999993</v>
      </c>
      <c r="F55" s="21">
        <f t="shared" si="1"/>
        <v>20.285999999999998</v>
      </c>
      <c r="G55" s="34">
        <f>H55+7.125</f>
        <v>4.6088914285723703E-2</v>
      </c>
      <c r="H55" s="22">
        <f>(-P55*$E$27-$E$23*$E$19-(F55-F56)*$E$24)/R55</f>
        <v>-7.0789110857142763</v>
      </c>
      <c r="I55" s="22"/>
      <c r="J55" s="22"/>
      <c r="K55" s="22">
        <f>H55+$E$30</f>
        <v>-5.9539110857142763</v>
      </c>
      <c r="L55" s="22">
        <f>N55+$E$29</f>
        <v>1.4917180000000001</v>
      </c>
      <c r="M55" s="19">
        <f>N55-0.091</f>
        <v>-0.62728200000000001</v>
      </c>
      <c r="N55" s="22">
        <f>-(R55*$E$28+$E$23*$E$20)/P55</f>
        <v>-0.53628200000000004</v>
      </c>
      <c r="O55" s="2">
        <f>(-H55*(F55+F56-$E$23)+F55*(-$E$24)+F56*$E$24-$E$23*$E$19)/($E$27-H55)</f>
        <v>3.9949708912869033</v>
      </c>
      <c r="P55" s="69">
        <v>4</v>
      </c>
      <c r="Q55" s="4">
        <f>F55+F56-$E$23-$P55</f>
        <v>1.7396000000000029</v>
      </c>
      <c r="R55" s="69">
        <v>1.75</v>
      </c>
      <c r="S55" s="2">
        <f>P55+R55</f>
        <v>5.75</v>
      </c>
      <c r="T55" s="4">
        <f>F55+F56-$E$23</f>
        <v>5.7396000000000029</v>
      </c>
    </row>
    <row r="56" spans="1:26">
      <c r="A56" s="16"/>
      <c r="B56" s="1">
        <v>20</v>
      </c>
      <c r="C56" s="1" t="s">
        <v>49</v>
      </c>
      <c r="D56" s="1"/>
      <c r="E56" s="2">
        <f>E44</f>
        <v>9.32</v>
      </c>
      <c r="F56" s="21">
        <f t="shared" si="1"/>
        <v>20.550600000000003</v>
      </c>
      <c r="G56" s="34"/>
      <c r="H56" s="15"/>
      <c r="I56" s="15"/>
      <c r="J56" s="15"/>
      <c r="K56" s="15"/>
      <c r="L56" s="15"/>
      <c r="M56" s="1"/>
      <c r="N56" s="1"/>
      <c r="O56" s="2"/>
      <c r="P56" s="69"/>
      <c r="Q56" s="4"/>
      <c r="R56" s="69"/>
      <c r="S56" s="4"/>
      <c r="T56" s="6"/>
    </row>
    <row r="57" spans="1:26">
      <c r="A57" s="14"/>
      <c r="B57" s="11"/>
      <c r="C57" s="11"/>
      <c r="D57" s="11"/>
      <c r="E57" s="12"/>
      <c r="F57" s="35"/>
      <c r="G57" s="36"/>
      <c r="H57" s="37"/>
      <c r="I57" s="37"/>
      <c r="J57" s="37"/>
      <c r="K57" s="37"/>
      <c r="L57" s="37"/>
      <c r="M57" s="37"/>
      <c r="N57" s="11"/>
      <c r="O57" s="11"/>
      <c r="P57" s="11"/>
      <c r="Q57" s="11"/>
      <c r="R57" s="11"/>
      <c r="S57" s="11"/>
      <c r="T57" s="11"/>
      <c r="U57" s="12"/>
      <c r="V57" s="12"/>
      <c r="W57" s="35"/>
      <c r="X57" s="35"/>
      <c r="Y57" s="35"/>
      <c r="Z57" s="13"/>
    </row>
    <row r="59" spans="1:26" ht="75" customHeight="1">
      <c r="A59" s="60"/>
      <c r="B59" s="72" t="s">
        <v>1</v>
      </c>
      <c r="C59" s="61" t="s">
        <v>77</v>
      </c>
      <c r="D59" s="61" t="s">
        <v>76</v>
      </c>
      <c r="E59" s="73" t="s">
        <v>4</v>
      </c>
      <c r="F59" s="61" t="s">
        <v>5</v>
      </c>
      <c r="G59" s="61" t="s">
        <v>27</v>
      </c>
      <c r="H59" s="61" t="s">
        <v>29</v>
      </c>
      <c r="I59" s="59" t="s">
        <v>78</v>
      </c>
      <c r="J59" s="59"/>
      <c r="K59" s="59"/>
      <c r="L59" s="59"/>
      <c r="M59" s="61" t="s">
        <v>28</v>
      </c>
      <c r="N59" s="61" t="s">
        <v>30</v>
      </c>
      <c r="O59" s="59" t="s">
        <v>79</v>
      </c>
      <c r="P59" s="59"/>
      <c r="Q59" s="59"/>
      <c r="R59" s="59"/>
      <c r="S59" s="62" t="s">
        <v>58</v>
      </c>
      <c r="T59" s="62" t="s">
        <v>35</v>
      </c>
      <c r="U59" s="62" t="s">
        <v>36</v>
      </c>
      <c r="V59" s="38"/>
      <c r="W59" s="38"/>
      <c r="X59" s="11"/>
      <c r="Y59" s="11"/>
      <c r="Z59" s="38"/>
    </row>
    <row r="60" spans="1:26" ht="15.75" thickBot="1">
      <c r="A60" s="63"/>
      <c r="B60" s="74"/>
      <c r="C60" s="64"/>
      <c r="D60" s="64"/>
      <c r="E60" s="71"/>
      <c r="F60" s="64"/>
      <c r="G60" s="64"/>
      <c r="H60" s="64"/>
      <c r="I60" s="65" t="s">
        <v>34</v>
      </c>
      <c r="J60" s="65" t="s">
        <v>32</v>
      </c>
      <c r="K60" s="65" t="s">
        <v>33</v>
      </c>
      <c r="L60" s="65" t="s">
        <v>53</v>
      </c>
      <c r="M60" s="64"/>
      <c r="N60" s="64"/>
      <c r="O60" s="65" t="s">
        <v>31</v>
      </c>
      <c r="P60" s="65" t="s">
        <v>34</v>
      </c>
      <c r="Q60" s="65" t="s">
        <v>32</v>
      </c>
      <c r="R60" s="65" t="s">
        <v>33</v>
      </c>
      <c r="S60" s="66"/>
      <c r="T60" s="66"/>
      <c r="U60" s="66"/>
      <c r="V60" s="38"/>
      <c r="W60" s="38"/>
      <c r="X60" s="11"/>
      <c r="Y60" s="11"/>
      <c r="Z60" s="38"/>
    </row>
    <row r="61" spans="1:26" ht="15.75" thickTop="1">
      <c r="A61" s="24"/>
      <c r="B61" s="24">
        <v>1</v>
      </c>
      <c r="C61" s="5">
        <v>11</v>
      </c>
      <c r="D61" s="5" t="s">
        <v>48</v>
      </c>
      <c r="E61" s="56">
        <f>E48</f>
        <v>9.2199999999999989</v>
      </c>
      <c r="F61" s="21">
        <f t="shared" ref="F61:F70" si="2">E61*2.205</f>
        <v>20.330099999999998</v>
      </c>
      <c r="G61" s="34">
        <f>G47</f>
        <v>0.21839815950920283</v>
      </c>
      <c r="H61" s="21">
        <f>R47</f>
        <v>1.63</v>
      </c>
      <c r="I61" s="57">
        <v>1</v>
      </c>
      <c r="J61" s="57">
        <v>1</v>
      </c>
      <c r="K61" s="57">
        <v>0</v>
      </c>
      <c r="L61" s="57">
        <v>1</v>
      </c>
      <c r="M61" s="55">
        <f>M47</f>
        <v>-0.57503413333333331</v>
      </c>
      <c r="N61" s="56">
        <f>P47</f>
        <v>3.75</v>
      </c>
      <c r="O61" s="57">
        <v>1</v>
      </c>
      <c r="P61" s="57">
        <v>0</v>
      </c>
      <c r="Q61" s="57">
        <v>1</v>
      </c>
      <c r="R61" s="57">
        <v>1</v>
      </c>
      <c r="S61" s="58">
        <f>H61+N61</f>
        <v>5.38</v>
      </c>
      <c r="T61" s="58">
        <f>$E$23+S61</f>
        <v>40.477000000000004</v>
      </c>
      <c r="U61" s="58">
        <f>F61+F62</f>
        <v>40.660199999999996</v>
      </c>
      <c r="V61" s="12"/>
      <c r="W61" s="35"/>
      <c r="X61" s="11"/>
      <c r="Y61" s="11"/>
      <c r="Z61" s="35"/>
    </row>
    <row r="62" spans="1:26">
      <c r="A62" s="3"/>
      <c r="B62" s="3"/>
      <c r="C62" s="1">
        <v>12</v>
      </c>
      <c r="D62" s="1" t="s">
        <v>49</v>
      </c>
      <c r="E62" s="2">
        <f>E48</f>
        <v>9.2199999999999989</v>
      </c>
      <c r="F62" s="21">
        <f t="shared" si="2"/>
        <v>20.330099999999998</v>
      </c>
      <c r="G62" s="34"/>
      <c r="H62" s="4"/>
      <c r="I62" s="45"/>
      <c r="J62" s="45"/>
      <c r="K62" s="45"/>
      <c r="L62" s="45"/>
      <c r="M62" s="15"/>
      <c r="N62" s="2"/>
      <c r="O62" s="45"/>
      <c r="P62" s="45"/>
      <c r="Q62" s="45"/>
      <c r="R62" s="45"/>
      <c r="S62" s="42"/>
      <c r="T62" s="42"/>
      <c r="U62" s="42"/>
      <c r="V62" s="12"/>
      <c r="W62" s="35"/>
      <c r="X62" s="11"/>
      <c r="Y62" s="11"/>
      <c r="Z62" s="35"/>
    </row>
    <row r="63" spans="1:26">
      <c r="A63" s="3"/>
      <c r="B63" s="3">
        <v>2</v>
      </c>
      <c r="C63" s="1">
        <v>13</v>
      </c>
      <c r="D63" s="1" t="s">
        <v>48</v>
      </c>
      <c r="E63" s="2">
        <f>E49</f>
        <v>9.1499999999999986</v>
      </c>
      <c r="F63" s="21">
        <f t="shared" si="2"/>
        <v>20.175749999999997</v>
      </c>
      <c r="G63" s="20">
        <f>G49</f>
        <v>0.29607368098160158</v>
      </c>
      <c r="H63" s="4">
        <f>R49</f>
        <v>1.63</v>
      </c>
      <c r="I63" s="44">
        <v>1</v>
      </c>
      <c r="J63" s="44">
        <v>1</v>
      </c>
      <c r="K63" s="44">
        <v>0</v>
      </c>
      <c r="L63" s="44">
        <v>1</v>
      </c>
      <c r="M63" s="19">
        <f>M49</f>
        <v>-0.57503413333333331</v>
      </c>
      <c r="N63" s="2">
        <f>P49</f>
        <v>3.75</v>
      </c>
      <c r="O63" s="44">
        <v>1</v>
      </c>
      <c r="P63" s="44">
        <v>0</v>
      </c>
      <c r="Q63" s="44">
        <v>1</v>
      </c>
      <c r="R63" s="44">
        <v>1</v>
      </c>
      <c r="S63" s="42">
        <f>H63+N63</f>
        <v>5.38</v>
      </c>
      <c r="T63" s="42">
        <f>$E$23+S63</f>
        <v>40.477000000000004</v>
      </c>
      <c r="U63" s="42">
        <f>F63+F64</f>
        <v>40.395600000000002</v>
      </c>
      <c r="V63" s="12"/>
      <c r="W63" s="35"/>
      <c r="X63" s="11"/>
      <c r="Y63" s="11"/>
      <c r="Z63" s="35"/>
    </row>
    <row r="64" spans="1:26">
      <c r="A64" s="3"/>
      <c r="B64" s="3"/>
      <c r="C64" s="1">
        <v>14</v>
      </c>
      <c r="D64" s="1" t="s">
        <v>49</v>
      </c>
      <c r="E64" s="2">
        <f>E50</f>
        <v>9.17</v>
      </c>
      <c r="F64" s="21">
        <f t="shared" si="2"/>
        <v>20.219850000000001</v>
      </c>
      <c r="G64" s="34"/>
      <c r="H64" s="4"/>
      <c r="I64" s="45"/>
      <c r="J64" s="45"/>
      <c r="K64" s="45"/>
      <c r="L64" s="45"/>
      <c r="M64" s="15"/>
      <c r="N64" s="2"/>
      <c r="O64" s="45"/>
      <c r="P64" s="45"/>
      <c r="Q64" s="45"/>
      <c r="R64" s="45"/>
      <c r="S64" s="42"/>
      <c r="T64" s="42"/>
      <c r="U64" s="42"/>
      <c r="V64" s="12"/>
      <c r="W64" s="35"/>
      <c r="X64" s="11"/>
      <c r="Y64" s="11"/>
      <c r="Z64" s="35"/>
    </row>
    <row r="65" spans="1:26">
      <c r="A65" s="3"/>
      <c r="B65" s="3">
        <v>3</v>
      </c>
      <c r="C65" s="1">
        <v>15</v>
      </c>
      <c r="D65" s="1" t="s">
        <v>48</v>
      </c>
      <c r="E65" s="2">
        <f>E51</f>
        <v>9.17</v>
      </c>
      <c r="F65" s="21">
        <f t="shared" si="2"/>
        <v>20.219850000000001</v>
      </c>
      <c r="G65" s="20">
        <f>G51</f>
        <v>-0.29576659999999944</v>
      </c>
      <c r="H65" s="4">
        <f>R51</f>
        <v>1.5</v>
      </c>
      <c r="I65" s="44">
        <v>1</v>
      </c>
      <c r="J65" s="44">
        <v>1</v>
      </c>
      <c r="K65" s="44">
        <v>0</v>
      </c>
      <c r="L65" s="44">
        <v>0</v>
      </c>
      <c r="M65" s="19">
        <f>M51</f>
        <v>-0.47970080000000004</v>
      </c>
      <c r="N65" s="2">
        <f>P51</f>
        <v>3.75</v>
      </c>
      <c r="O65" s="44">
        <v>1</v>
      </c>
      <c r="P65" s="44">
        <v>0</v>
      </c>
      <c r="Q65" s="44">
        <v>1</v>
      </c>
      <c r="R65" s="44">
        <v>1</v>
      </c>
      <c r="S65" s="42">
        <f>H65+N65</f>
        <v>5.25</v>
      </c>
      <c r="T65" s="42">
        <f>$E$23+S65</f>
        <v>40.347000000000001</v>
      </c>
      <c r="U65" s="42">
        <f>F65+F66</f>
        <v>40.483800000000002</v>
      </c>
      <c r="V65" s="12"/>
      <c r="W65" s="35"/>
      <c r="X65" s="11"/>
      <c r="Y65" s="11"/>
      <c r="Z65" s="35"/>
    </row>
    <row r="66" spans="1:26">
      <c r="A66" s="3"/>
      <c r="B66" s="3"/>
      <c r="C66" s="7">
        <v>19</v>
      </c>
      <c r="D66" s="1" t="s">
        <v>49</v>
      </c>
      <c r="E66" s="4">
        <f>E52</f>
        <v>9.19</v>
      </c>
      <c r="F66" s="21">
        <f t="shared" si="2"/>
        <v>20.263950000000001</v>
      </c>
      <c r="G66" s="34"/>
      <c r="H66" s="4"/>
      <c r="I66" s="45"/>
      <c r="J66" s="45"/>
      <c r="K66" s="45"/>
      <c r="L66" s="45"/>
      <c r="M66" s="15"/>
      <c r="N66" s="2"/>
      <c r="O66" s="45"/>
      <c r="P66" s="45"/>
      <c r="Q66" s="45"/>
      <c r="R66" s="45"/>
      <c r="S66" s="42"/>
      <c r="T66" s="42"/>
      <c r="U66" s="42"/>
      <c r="V66" s="12"/>
      <c r="W66" s="35"/>
      <c r="X66" s="11"/>
      <c r="Y66" s="11"/>
      <c r="Z66" s="35"/>
    </row>
    <row r="67" spans="1:26">
      <c r="A67" s="16"/>
      <c r="B67" s="16">
        <v>4</v>
      </c>
      <c r="C67" s="7">
        <v>16</v>
      </c>
      <c r="D67" s="1" t="s">
        <v>48</v>
      </c>
      <c r="E67" s="4">
        <f>E53</f>
        <v>9.07</v>
      </c>
      <c r="F67" s="21">
        <f t="shared" si="2"/>
        <v>19.99935</v>
      </c>
      <c r="G67" s="20">
        <f>G53</f>
        <v>-3.0221304347819888E-2</v>
      </c>
      <c r="H67" s="4">
        <f>R53</f>
        <v>1.38</v>
      </c>
      <c r="I67" s="44">
        <v>1</v>
      </c>
      <c r="J67" s="44">
        <v>0</v>
      </c>
      <c r="K67" s="44">
        <v>1</v>
      </c>
      <c r="L67" s="44">
        <v>1</v>
      </c>
      <c r="M67" s="19">
        <f>M53</f>
        <v>-0.41317942857142864</v>
      </c>
      <c r="N67" s="2">
        <f>P53</f>
        <v>3.5</v>
      </c>
      <c r="O67" s="44">
        <v>1</v>
      </c>
      <c r="P67" s="44">
        <v>0</v>
      </c>
      <c r="Q67" s="44">
        <v>1</v>
      </c>
      <c r="R67" s="44">
        <v>0</v>
      </c>
      <c r="S67" s="42">
        <f>H67+N67</f>
        <v>4.88</v>
      </c>
      <c r="T67" s="42">
        <f>$E$23+S67</f>
        <v>39.977000000000004</v>
      </c>
      <c r="U67" s="42">
        <f>F67+F68</f>
        <v>39.822299999999998</v>
      </c>
      <c r="V67" s="12"/>
      <c r="W67" s="35"/>
      <c r="X67" s="11"/>
      <c r="Y67" s="11"/>
      <c r="Z67" s="35"/>
    </row>
    <row r="68" spans="1:26">
      <c r="A68" s="16"/>
      <c r="B68" s="16"/>
      <c r="C68" s="1">
        <v>18</v>
      </c>
      <c r="D68" s="1" t="s">
        <v>49</v>
      </c>
      <c r="E68" s="4">
        <f>E54</f>
        <v>8.99</v>
      </c>
      <c r="F68" s="21">
        <f t="shared" si="2"/>
        <v>19.822950000000002</v>
      </c>
      <c r="G68" s="34"/>
      <c r="H68" s="26"/>
      <c r="I68" s="45"/>
      <c r="J68" s="45"/>
      <c r="K68" s="45"/>
      <c r="L68" s="45"/>
      <c r="M68" s="33"/>
      <c r="N68" s="25"/>
      <c r="O68" s="45"/>
      <c r="P68" s="45"/>
      <c r="Q68" s="45"/>
      <c r="R68" s="45"/>
      <c r="S68" s="42"/>
      <c r="T68" s="42"/>
      <c r="U68" s="42"/>
      <c r="V68" s="39"/>
      <c r="W68" s="40"/>
      <c r="X68" s="11"/>
      <c r="Y68" s="11"/>
      <c r="Z68" s="40"/>
    </row>
    <row r="69" spans="1:26">
      <c r="A69" s="3"/>
      <c r="B69" s="3">
        <v>5</v>
      </c>
      <c r="C69" s="1">
        <v>17</v>
      </c>
      <c r="D69" s="1" t="s">
        <v>48</v>
      </c>
      <c r="E69" s="2">
        <f>E55</f>
        <v>9.1999999999999993</v>
      </c>
      <c r="F69" s="21">
        <f t="shared" si="2"/>
        <v>20.285999999999998</v>
      </c>
      <c r="G69" s="20">
        <f>G55</f>
        <v>4.6088914285723703E-2</v>
      </c>
      <c r="H69" s="4">
        <f>R55</f>
        <v>1.75</v>
      </c>
      <c r="I69" s="45">
        <v>1</v>
      </c>
      <c r="J69" s="45">
        <v>1</v>
      </c>
      <c r="K69" s="45">
        <v>1</v>
      </c>
      <c r="L69" s="45">
        <v>0</v>
      </c>
      <c r="M69" s="19">
        <f>M55</f>
        <v>-0.62728200000000001</v>
      </c>
      <c r="N69" s="2">
        <f>P55</f>
        <v>4</v>
      </c>
      <c r="O69" s="45">
        <v>1</v>
      </c>
      <c r="P69" s="45">
        <v>2</v>
      </c>
      <c r="Q69" s="45">
        <v>0</v>
      </c>
      <c r="R69" s="45">
        <v>0</v>
      </c>
      <c r="S69" s="42">
        <f>H69+N69</f>
        <v>5.75</v>
      </c>
      <c r="T69" s="42">
        <f>$E$23+S69</f>
        <v>40.847000000000001</v>
      </c>
      <c r="U69" s="42">
        <f>F69+F70</f>
        <v>40.836600000000004</v>
      </c>
      <c r="V69" s="12"/>
      <c r="W69" s="35"/>
      <c r="X69" s="11"/>
      <c r="Y69" s="11"/>
      <c r="Z69" s="35"/>
    </row>
    <row r="70" spans="1:26">
      <c r="A70" s="41"/>
      <c r="B70" s="41"/>
      <c r="C70" s="1">
        <v>20</v>
      </c>
      <c r="D70" s="1" t="s">
        <v>49</v>
      </c>
      <c r="E70" s="2">
        <f>E56</f>
        <v>9.32</v>
      </c>
      <c r="F70" s="21">
        <f t="shared" si="2"/>
        <v>20.550600000000003</v>
      </c>
      <c r="G70" s="34"/>
      <c r="H70" s="20"/>
      <c r="I70" s="45"/>
      <c r="J70" s="45"/>
      <c r="K70" s="45"/>
      <c r="L70" s="45"/>
      <c r="M70" s="1"/>
      <c r="N70" s="2"/>
      <c r="O70" s="45"/>
      <c r="P70" s="45"/>
      <c r="Q70" s="45"/>
      <c r="R70" s="45"/>
      <c r="V70" s="12"/>
      <c r="W70" s="35"/>
      <c r="X70" s="11"/>
      <c r="Y70" s="11"/>
      <c r="Z70" s="13"/>
    </row>
    <row r="71" spans="1:26">
      <c r="A71" s="1"/>
      <c r="B71" s="1" t="s">
        <v>40</v>
      </c>
      <c r="C71" s="1"/>
      <c r="D71" s="1"/>
      <c r="E71" s="1"/>
      <c r="F71" s="1"/>
      <c r="G71" s="1"/>
      <c r="H71" s="1"/>
      <c r="I71" s="46">
        <f>SUM(I61:I70)</f>
        <v>5</v>
      </c>
      <c r="J71" s="46">
        <f>SUM(J61:J70)</f>
        <v>4</v>
      </c>
      <c r="K71" s="46">
        <f>SUM(K61:K70)</f>
        <v>2</v>
      </c>
      <c r="L71" s="46">
        <f>SUM(L61:L70)</f>
        <v>3</v>
      </c>
      <c r="M71" s="1"/>
      <c r="N71" s="1"/>
      <c r="O71" s="46">
        <f>SUM(O61:O70)</f>
        <v>5</v>
      </c>
      <c r="P71" s="46">
        <f>SUM(P61:P70)</f>
        <v>2</v>
      </c>
      <c r="Q71" s="46">
        <f>SUM(Q61:Q70)</f>
        <v>4</v>
      </c>
      <c r="R71" s="46">
        <f>SUM(R61:R70)</f>
        <v>3</v>
      </c>
    </row>
    <row r="73" spans="1:26">
      <c r="T73" s="75"/>
    </row>
  </sheetData>
  <sortState ref="A7:G19">
    <sortCondition ref="A7:A19"/>
  </sortState>
  <mergeCells count="13">
    <mergeCell ref="U59:U60"/>
    <mergeCell ref="G59:G60"/>
    <mergeCell ref="H59:H60"/>
    <mergeCell ref="M59:M60"/>
    <mergeCell ref="N59:N60"/>
    <mergeCell ref="S59:S60"/>
    <mergeCell ref="T59:T60"/>
    <mergeCell ref="A59:A60"/>
    <mergeCell ref="B59:B60"/>
    <mergeCell ref="C59:C60"/>
    <mergeCell ref="D59:D60"/>
    <mergeCell ref="E59:E60"/>
    <mergeCell ref="F59:F60"/>
  </mergeCells>
  <pageMargins left="0.7" right="0.7" top="0.75" bottom="0.75" header="0.3" footer="0.3"/>
  <pageSetup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2013-08-20T17:21:26Z</cp:lastPrinted>
  <dcterms:created xsi:type="dcterms:W3CDTF">2012-12-12T01:40:06Z</dcterms:created>
  <dcterms:modified xsi:type="dcterms:W3CDTF">2013-08-26T18:28:23Z</dcterms:modified>
</cp:coreProperties>
</file>