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22995" windowHeight="12435" tabRatio="878" activeTab="3"/>
  </bookViews>
  <sheets>
    <sheet name="Compiled data" sheetId="1" r:id="rId1"/>
    <sheet name="50-50 splitter" sheetId="2" r:id="rId2"/>
    <sheet name="Laser Black 3188" sheetId="3" r:id="rId3"/>
    <sheet name="SS #4 Rough Side" sheetId="4" r:id="rId4"/>
    <sheet name="SS Polished" sheetId="5" r:id="rId5"/>
    <sheet name="SS #4" sheetId="6" r:id="rId6"/>
    <sheet name="SS #3" sheetId="7" r:id="rId7"/>
    <sheet name="SS #2" sheetId="8" r:id="rId8"/>
    <sheet name="SS #1" sheetId="9" r:id="rId9"/>
    <sheet name="Brewster Window" sheetId="10" r:id="rId10"/>
    <sheet name="Lambertian full profile" sheetId="11" r:id="rId11"/>
    <sheet name="Black glass 1" sheetId="12" r:id="rId12"/>
    <sheet name="Black Glass 2" sheetId="13" r:id="rId13"/>
  </sheets>
  <definedNames/>
  <calcPr fullCalcOnLoad="1"/>
</workbook>
</file>

<file path=xl/sharedStrings.xml><?xml version="1.0" encoding="utf-8"?>
<sst xmlns="http://schemas.openxmlformats.org/spreadsheetml/2006/main" count="823" uniqueCount="80">
  <si>
    <t>Optics calibration</t>
  </si>
  <si>
    <t>Before</t>
  </si>
  <si>
    <t>After</t>
  </si>
  <si>
    <t>Power meter diode calibration</t>
  </si>
  <si>
    <t>Enter Voltage</t>
  </si>
  <si>
    <t>watts</t>
  </si>
  <si>
    <t>Lock-in Calibration</t>
  </si>
  <si>
    <t>Solid Angle Calculation</t>
  </si>
  <si>
    <t>Distance from</t>
  </si>
  <si>
    <t>Aperture area is (cm^2)</t>
  </si>
  <si>
    <t>Aperture radius (cm)</t>
  </si>
  <si>
    <t>Solid Angle is:</t>
  </si>
  <si>
    <t>Power incident on sample</t>
  </si>
  <si>
    <t>Power scattered</t>
  </si>
  <si>
    <t>Solid Angle</t>
  </si>
  <si>
    <t>steradians</t>
  </si>
  <si>
    <t>per watt*steradian</t>
  </si>
  <si>
    <t>sample to aperture (cm)</t>
  </si>
  <si>
    <t>Power stick (uW)</t>
  </si>
  <si>
    <t>Power hitting diode due to filter (uW)</t>
  </si>
  <si>
    <t>Power hitting filter is (uW)</t>
  </si>
  <si>
    <t>Transmissivity</t>
  </si>
  <si>
    <t>Steradian is (cm^2)</t>
  </si>
  <si>
    <t>Hole area is (cm^2)</t>
  </si>
  <si>
    <t>Steradian for mirror is (cm^2)</t>
  </si>
  <si>
    <t>W</t>
  </si>
  <si>
    <t>Beam splitter calibration</t>
  </si>
  <si>
    <t>mW</t>
  </si>
  <si>
    <t>Total transmissivity</t>
  </si>
  <si>
    <t>Diode voltage (uV)</t>
  </si>
  <si>
    <t>Calibrated power meter (uW)</t>
  </si>
  <si>
    <t>Lock-in with filters (uV)</t>
  </si>
  <si>
    <t>Filters calibration</t>
  </si>
  <si>
    <t>Enter Voltage (uV)</t>
  </si>
  <si>
    <t>Power hitting sample in W:</t>
  </si>
  <si>
    <t>mirror hole radius (cm)</t>
  </si>
  <si>
    <t>microwatts</t>
  </si>
  <si>
    <t>ND2 transmittivity</t>
  </si>
  <si>
    <t>ND 1 transmittivity</t>
  </si>
  <si>
    <t>Attenuation in front of photodiode</t>
  </si>
  <si>
    <t>Power hitting photodiode is (uW)</t>
  </si>
  <si>
    <t>ND 1 transmissivity</t>
  </si>
  <si>
    <t>ND2 transmissivity</t>
  </si>
  <si>
    <t>Transmissivity reflective filter</t>
  </si>
  <si>
    <t>ND=1 and reflective filter</t>
  </si>
  <si>
    <t>THEORETICAL BRDF</t>
  </si>
  <si>
    <t>Angle</t>
  </si>
  <si>
    <t>Radians</t>
  </si>
  <si>
    <t>BRDF</t>
  </si>
  <si>
    <t>MEASURED BRDF FOR LAMBERTIAN</t>
  </si>
  <si>
    <t>Data calculated using slightly larger solid angle</t>
  </si>
  <si>
    <t>Normal is ----&gt;</t>
  </si>
  <si>
    <t>Voltage</t>
  </si>
  <si>
    <t>Noise corrected</t>
  </si>
  <si>
    <t>BRDF for P-polarization</t>
  </si>
  <si>
    <t>Angle corrected</t>
  </si>
  <si>
    <t>Voltage (uV)</t>
  </si>
  <si>
    <t>Power on photodiode (uW)</t>
  </si>
  <si>
    <t>Power scattered (uW)</t>
  </si>
  <si>
    <t>BRDF for S-polarization</t>
  </si>
  <si>
    <t>Background corrected Voltage</t>
  </si>
  <si>
    <t>Filters for power calibration</t>
  </si>
  <si>
    <t>Filters used</t>
  </si>
  <si>
    <t>ND = 2.0</t>
  </si>
  <si>
    <t>ND = 1.0</t>
  </si>
  <si>
    <t>Lock-in with filters (mV)</t>
  </si>
  <si>
    <t>Enter Voltage (mV)</t>
  </si>
  <si>
    <t>Voltage (mV)</t>
  </si>
  <si>
    <t>Power meter filter calibration</t>
  </si>
  <si>
    <t>Power measured</t>
  </si>
  <si>
    <t>Actual Power</t>
  </si>
  <si>
    <t>Normal is ----&gt; 10 degrees</t>
  </si>
  <si>
    <t>Reflective</t>
  </si>
  <si>
    <t>Background corrected Voltage (uV)</t>
  </si>
  <si>
    <t>IMPOTANT INFO</t>
  </si>
  <si>
    <t>1064 nm splitter</t>
  </si>
  <si>
    <t>CVI made</t>
  </si>
  <si>
    <t>WARNING: No Calibration data available for BRDF</t>
  </si>
  <si>
    <t>WARNING: No calibration data available for BRDF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</si>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</sst>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0000000"/>
    <numFmt numFmtId="171" formatCode="0.0000000"/>
    <numFmt numFmtId="172" formatCode="0.000000"/>
    <numFmt numFmtId="173" formatCode="0.000000000"/>
    <numFmt numFmtId="174" formatCode="0.0E+00"/>
    <numFmt numFmtId="175" formatCode="0.000000E+00"/>
    <numFmt numFmtId="176" formatCode="0.00000E+00"/>
    <numFmt numFmtId="177" formatCode="0E+0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E+00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10.8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20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4.2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6.75"/>
      <color indexed="8"/>
      <name val="Arial"/>
      <family val="2"/>
    </font>
    <font>
      <sz val="10.1"/>
      <color indexed="8"/>
      <name val="Arial"/>
      <family val="2"/>
    </font>
    <font>
      <b/>
      <sz val="10"/>
      <color indexed="8"/>
      <name val="Calibri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5.75"/>
      <color indexed="8"/>
      <name val="Arial"/>
      <family val="2"/>
    </font>
    <font>
      <b/>
      <sz val="18.2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8"/>
      <name val="Arial"/>
      <family val="2"/>
    </font>
    <font>
      <b/>
      <sz val="14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2" fontId="0" fillId="33" borderId="0" xfId="0" applyNumberFormat="1" applyFill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66" fontId="0" fillId="0" borderId="20" xfId="0" applyNumberFormat="1" applyBorder="1" applyAlignment="1">
      <alignment horizontal="left" indent="9"/>
    </xf>
    <xf numFmtId="0" fontId="0" fillId="0" borderId="21" xfId="0" applyBorder="1" applyAlignment="1">
      <alignment/>
    </xf>
    <xf numFmtId="11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3" borderId="0" xfId="0" applyNumberFormat="1" applyFill="1" applyAlignment="1">
      <alignment horizontal="left" indent="3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 indent="3"/>
    </xf>
    <xf numFmtId="0" fontId="0" fillId="0" borderId="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1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1" fontId="0" fillId="33" borderId="26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11" fontId="0" fillId="0" borderId="26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1" fontId="0" fillId="0" borderId="11" xfId="0" applyNumberFormat="1" applyBorder="1" applyAlignment="1">
      <alignment/>
    </xf>
    <xf numFmtId="164" fontId="0" fillId="33" borderId="15" xfId="0" applyNumberFormat="1" applyFill="1" applyBorder="1" applyAlignment="1">
      <alignment horizontal="left" indent="3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Alignment="1">
      <alignment/>
    </xf>
    <xf numFmtId="2" fontId="0" fillId="0" borderId="20" xfId="0" applyNumberFormat="1" applyBorder="1" applyAlignment="1">
      <alignment horizontal="left" indent="9"/>
    </xf>
    <xf numFmtId="2" fontId="0" fillId="0" borderId="20" xfId="0" applyNumberFormat="1" applyBorder="1" applyAlignment="1">
      <alignment horizontal="right"/>
    </xf>
    <xf numFmtId="177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3" xfId="0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P-polarization</a:t>
            </a:r>
          </a:p>
        </c:rich>
      </c:tx>
      <c:layout>
        <c:manualLayout>
          <c:xMode val="factor"/>
          <c:yMode val="factor"/>
          <c:x val="0.1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3925"/>
          <c:w val="0.86975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Polished'!$J$43:$J$50</c:f>
              <c:numCache>
                <c:ptCount val="8"/>
                <c:pt idx="0">
                  <c:v>0.00035388742324564225</c:v>
                </c:pt>
                <c:pt idx="1">
                  <c:v>0.0002502047496758949</c:v>
                </c:pt>
                <c:pt idx="2">
                  <c:v>0.00026850169207055623</c:v>
                </c:pt>
                <c:pt idx="3">
                  <c:v>0.00015140126074472384</c:v>
                </c:pt>
                <c:pt idx="4">
                  <c:v>0.00015018146458507973</c:v>
                </c:pt>
                <c:pt idx="5">
                  <c:v>0.00015140126074472384</c:v>
                </c:pt>
                <c:pt idx="6">
                  <c:v>0.00011175788555629101</c:v>
                </c:pt>
                <c:pt idx="7">
                  <c:v>8.736196236340928E-05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9"/>
          <c:order val="7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2'!$E$43:$E$51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Glass 2'!$J$43:$J$51</c:f>
              <c:numCache>
                <c:ptCount val="9"/>
                <c:pt idx="0">
                  <c:v>4.338927004302709E-07</c:v>
                </c:pt>
                <c:pt idx="1">
                  <c:v>2.1996858543351414E-07</c:v>
                </c:pt>
                <c:pt idx="2">
                  <c:v>2.2591092196120187E-07</c:v>
                </c:pt>
                <c:pt idx="3">
                  <c:v>1.6648755668432496E-07</c:v>
                </c:pt>
                <c:pt idx="4">
                  <c:v>2.4373793154426493E-07</c:v>
                </c:pt>
                <c:pt idx="5">
                  <c:v>2.5562260459964033E-07</c:v>
                </c:pt>
                <c:pt idx="6">
                  <c:v>2.734496141827034E-07</c:v>
                </c:pt>
                <c:pt idx="7">
                  <c:v>3.0316129682114176E-07</c:v>
                </c:pt>
                <c:pt idx="8">
                  <c:v>3.9823868126414477E-07</c:v>
                </c:pt>
              </c:numCache>
            </c:numRef>
          </c:yVal>
          <c:smooth val="0"/>
        </c:ser>
        <c:ser>
          <c:idx val="1"/>
          <c:order val="8"/>
          <c:tx>
            <c:v>SS#4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axId val="59643677"/>
        <c:axId val="67031046"/>
      </c:scatterChart>
      <c:val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6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7031046"/>
        <c:crossesAt val="1E-13"/>
        <c:crossBetween val="midCat"/>
        <c:dispUnits/>
      </c:valAx>
      <c:valAx>
        <c:axId val="670310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1825"/>
          <c:w val="0.255"/>
          <c:h val="0.32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"/>
          <c:w val="0.9072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 Rough Side'!$A$26:$A$30</c:f>
              <c:numCache/>
            </c:numRef>
          </c:xVal>
          <c:yVal>
            <c:numRef>
              <c:f>'SS #4 Rough Side'!$C$26:$C$30</c:f>
              <c:numCache/>
            </c:numRef>
          </c:yVal>
          <c:smooth val="0"/>
        </c:ser>
        <c:axId val="12617095"/>
        <c:axId val="46444992"/>
      </c:scatterChart>
      <c:val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 val="autoZero"/>
        <c:crossBetween val="midCat"/>
        <c:dispUnits/>
      </c:val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5"/>
          <c:w val="0.9017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 Rough Side'!$E$43:$E$50</c:f>
              <c:numCache/>
            </c:numRef>
          </c:xVal>
          <c:yVal>
            <c:numRef>
              <c:f>'SS #4 Rough Side'!$J$43:$J$50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Side'!$E$55:$E$62</c:f>
              <c:numCache/>
            </c:numRef>
          </c:xVal>
          <c:yVal>
            <c:numRef>
              <c:f>'SS #4 Rough Side'!$J$55:$J$62</c:f>
              <c:numCache/>
            </c:numRef>
          </c:yVal>
          <c:smooth val="0"/>
        </c:ser>
        <c:axId val="15351745"/>
        <c:axId val="3947978"/>
      </c:scatterChart>
      <c:valAx>
        <c:axId val="1535174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crossBetween val="midCat"/>
        <c:dispUnits/>
        <c:majorUnit val="10"/>
      </c:valAx>
      <c:val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85"/>
          <c:w val="0.14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5"/>
          <c:w val="0.90975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Polished'!$A$26:$A$30</c:f>
              <c:numCache/>
            </c:numRef>
          </c:xVal>
          <c:yVal>
            <c:numRef>
              <c:f>'SS Polished'!$C$26:$C$30</c:f>
              <c:numCache/>
            </c:numRef>
          </c:yVal>
          <c:smooth val="0"/>
        </c:ser>
        <c:axId val="35531803"/>
        <c:axId val="51350772"/>
      </c:scatterChart>
      <c:val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 val="autoZero"/>
        <c:crossBetween val="midCat"/>
        <c:dispUnits/>
      </c:valAx>
      <c:valAx>
        <c:axId val="513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125"/>
          <c:w val="0.902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Polished'!$E$43:$E$50</c:f>
              <c:numCache/>
            </c:numRef>
          </c:xVal>
          <c:yVal>
            <c:numRef>
              <c:f>'SS Polished'!$J$43:$J$50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Polished'!$E$55:$E$62</c:f>
              <c:numCache/>
            </c:numRef>
          </c:xVal>
          <c:yVal>
            <c:numRef>
              <c:f>'SS Polished'!$J$55:$J$62</c:f>
              <c:numCache/>
            </c:numRef>
          </c:yVal>
          <c:smooth val="0"/>
        </c:ser>
        <c:axId val="59503765"/>
        <c:axId val="65771838"/>
      </c:scatterChart>
      <c:valAx>
        <c:axId val="5950376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crossBetween val="midCat"/>
        <c:dispUnits/>
        <c:majorUnit val="10"/>
      </c:valAx>
      <c:valAx>
        <c:axId val="6577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855"/>
          <c:w val="0.149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5"/>
          <c:w val="0.910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#4'!$A$26:$A$30</c:f>
              <c:numCache/>
            </c:numRef>
          </c:xVal>
          <c:yVal>
            <c:numRef>
              <c:f>'SS #4'!$C$26:$C$30</c:f>
              <c:numCache/>
            </c:numRef>
          </c:yVal>
          <c:smooth val="0"/>
        </c:ser>
        <c:axId val="55075631"/>
        <c:axId val="25918632"/>
      </c:scatterChart>
      <c:val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 val="autoZero"/>
        <c:crossBetween val="midCat"/>
        <c:dispUnits/>
      </c:valAx>
      <c:valAx>
        <c:axId val="2591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31941097"/>
        <c:axId val="19034418"/>
      </c:scatterChart>
      <c:valAx>
        <c:axId val="3194109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crossBetween val="midCat"/>
        <c:dispUnits/>
        <c:majorUnit val="10"/>
      </c:val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075"/>
          <c:w val="0.9642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37092035"/>
        <c:axId val="65392860"/>
      </c:scatterChart>
      <c:val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2860"/>
        <c:crosses val="autoZero"/>
        <c:crossBetween val="midCat"/>
        <c:dispUnits/>
      </c:val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2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18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5"/>
          <c:w val="0.909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#3'!$A$26:$A$30</c:f>
              <c:numCache/>
            </c:numRef>
          </c:xVal>
          <c:yVal>
            <c:numRef>
              <c:f>'SS #3'!$C$26:$C$30</c:f>
              <c:numCache/>
            </c:numRef>
          </c:yVal>
          <c:smooth val="0"/>
        </c:ser>
        <c:axId val="51664829"/>
        <c:axId val="62330278"/>
      </c:scatterChart>
      <c:val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 val="autoZero"/>
        <c:crossBetween val="midCat"/>
        <c:dispUnits/>
      </c:val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24101591"/>
        <c:axId val="15587728"/>
      </c:scatterChart>
      <c:valAx>
        <c:axId val="2410159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crossBetween val="midCat"/>
        <c:dispUnits/>
        <c:majorUnit val="10"/>
      </c:val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05"/>
          <c:w val="0.964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 val="autoZero"/>
        <c:crossBetween val="midCat"/>
        <c:dispUnits/>
      </c:val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1692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5"/>
          <c:w val="0.694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1"/>
          <c:order val="1"/>
          <c:tx>
            <c:v>SS 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axId val="66408503"/>
        <c:axId val="60805616"/>
      </c:scatterChart>
      <c:val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autoZero"/>
        <c:crossBetween val="midCat"/>
        <c:dispUnits/>
      </c:valAx>
      <c:valAx>
        <c:axId val="6080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705"/>
          <c:w val="0.22375"/>
          <c:h val="0.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425"/>
          <c:w val="0.9077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#2'!$A$26:$A$30</c:f>
              <c:numCache/>
            </c:numRef>
          </c:xVal>
          <c:yVal>
            <c:numRef>
              <c:f>'SS #2'!$C$26:$C$30</c:f>
              <c:numCache/>
            </c:numRef>
          </c:yVal>
          <c:smooth val="0"/>
        </c:ser>
        <c:axId val="22055787"/>
        <c:axId val="64284356"/>
      </c:scatterChart>
      <c:val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 val="autoZero"/>
        <c:crossBetween val="midCat"/>
        <c:dispUnits/>
      </c:val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41688293"/>
        <c:axId val="39650318"/>
      </c:scatterChart>
      <c:valAx>
        <c:axId val="4168829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crossBetween val="midCat"/>
        <c:dispUnits/>
        <c:majorUnit val="10"/>
      </c:val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64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21308543"/>
        <c:axId val="57559160"/>
      </c:scatterChart>
      <c:valAx>
        <c:axId val="2130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160"/>
        <c:crosses val="autoZero"/>
        <c:crossBetween val="midCat"/>
        <c:dispUnits/>
      </c:val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4575"/>
          <c:w val="0.1867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575"/>
          <c:w val="0.909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#1'!$A$26:$A$30</c:f>
              <c:numCache/>
            </c:numRef>
          </c:xVal>
          <c:yVal>
            <c:numRef>
              <c:f>'SS #1'!$C$26:$C$30</c:f>
              <c:numCache/>
            </c:numRef>
          </c:yVal>
          <c:smooth val="0"/>
        </c:ser>
        <c:axId val="48270393"/>
        <c:axId val="31780354"/>
      </c:scatterChart>
      <c:val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 val="autoZero"/>
        <c:crossBetween val="midCat"/>
        <c:dispUnits/>
      </c:val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17587731"/>
        <c:axId val="24071852"/>
      </c:scatterChart>
      <c:valAx>
        <c:axId val="1758773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crossBetween val="midCat"/>
        <c:dispUnits/>
        <c:majorUnit val="10"/>
      </c:val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#1</a:t>
            </a:r>
          </a:p>
        </c:rich>
      </c:tx>
      <c:layout>
        <c:manualLayout>
          <c:xMode val="factor"/>
          <c:yMode val="factor"/>
          <c:x val="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225"/>
          <c:w val="0.985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14275"/>
          <c:w val="0.185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04"/>
          <c:w val="0.867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'Brewster Window'!$A$27:$A$31</c:f>
              <c:numCache/>
            </c:numRef>
          </c:xVal>
          <c:yVal>
            <c:numRef>
              <c:f>'Brewster Window'!$C$27:$C$31</c:f>
              <c:numCache/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 val="autoZero"/>
        <c:crossBetween val="midCat"/>
        <c:dispUnits/>
      </c:val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 and black glass</a:t>
            </a:r>
          </a:p>
        </c:rich>
      </c:tx>
      <c:layout>
        <c:manualLayout>
          <c:xMode val="factor"/>
          <c:yMode val="factor"/>
          <c:x val="0.00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25"/>
          <c:w val="0.898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Brewster Window -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Brewster Window - 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ser>
          <c:idx val="2"/>
          <c:order val="2"/>
          <c:tx>
            <c:v>Black Glass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axId val="53056609"/>
        <c:axId val="7747434"/>
      </c:scatterChart>
      <c:valAx>
        <c:axId val="5305660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crossBetween val="midCat"/>
        <c:dispUnits/>
        <c:majorUnit val="10"/>
      </c:valAx>
      <c:valAx>
        <c:axId val="7747434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6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7385"/>
          <c:w val="0.303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5"/>
          <c:w val="0.910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axId val="2618043"/>
        <c:axId val="23562388"/>
      </c:scatterChart>
      <c:valAx>
        <c:axId val="261804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crossBetween val="midCat"/>
        <c:dispUnits/>
        <c:majorUnit val="10"/>
      </c:val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85"/>
          <c:w val="0.149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35"/>
          <c:w val="0.9255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'Lambertian full profile'!$A$26:$A$31</c:f>
              <c:numCache/>
            </c:numRef>
          </c:xVal>
          <c:yVal>
            <c:numRef>
              <c:f>'Lambertian full profile'!$C$26:$C$31</c:f>
              <c:numCache/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 val="autoZero"/>
        <c:crossBetween val="midCat"/>
        <c:dispUnits/>
      </c:val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BRDF comparison at P-polarization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25"/>
          <c:w val="0.9447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Oxidized Stainless Steel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3"/>
          <c:order val="2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4"/>
          <c:order val="3"/>
          <c:tx>
            <c:v>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5"/>
          <c:order val="4"/>
          <c:tx>
            <c:v>Lambertian Scatterer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'Lambertian full profile'!$F$56:$F$63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'Lambertian full profile'!$G$56:$G$63</c:f>
              <c:numCache>
                <c:ptCount val="8"/>
                <c:pt idx="0">
                  <c:v>0.39810891325515724</c:v>
                </c:pt>
                <c:pt idx="1">
                  <c:v>0.3711447271347094</c:v>
                </c:pt>
                <c:pt idx="2">
                  <c:v>0.35766263407448545</c:v>
                </c:pt>
                <c:pt idx="3">
                  <c:v>0.3441805410142616</c:v>
                </c:pt>
                <c:pt idx="4">
                  <c:v>0.3104753083637018</c:v>
                </c:pt>
                <c:pt idx="5">
                  <c:v>0.2632879826529181</c:v>
                </c:pt>
                <c:pt idx="6">
                  <c:v>0.21610065694213432</c:v>
                </c:pt>
                <c:pt idx="7">
                  <c:v>0.1554312381711267</c:v>
                </c:pt>
              </c:numCache>
            </c:numRef>
          </c:yVal>
          <c:smooth val="0"/>
        </c:ser>
        <c:axId val="10379633"/>
        <c:axId val="26307834"/>
      </c:scatterChart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1E-08"/>
        <c:crossBetween val="midCat"/>
        <c:dispUnits/>
      </c:valAx>
      <c:valAx>
        <c:axId val="263078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5"/>
          <c:y val="0.34175"/>
          <c:w val="0.41675"/>
          <c:h val="0.22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Lambertian Scatterer</a:t>
            </a:r>
          </a:p>
        </c:rich>
      </c:tx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425"/>
          <c:w val="0.9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Experimental Values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'Lambertian full profile'!$F$43:$F$50</c:f>
              <c:numCache/>
            </c:numRef>
          </c:xVal>
          <c:yVal>
            <c:numRef>
              <c:f>'Lambertian full profile'!$K$43:$K$50</c:f>
              <c:numCache/>
            </c:numRef>
          </c:yVal>
          <c:smooth val="0"/>
        </c:ser>
        <c:ser>
          <c:idx val="1"/>
          <c:order val="1"/>
          <c:tx>
            <c:v>Theoretical Values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'Lambertian full profile'!$P$25:$P$64</c:f>
              <c:numCache/>
            </c:numRef>
          </c:xVal>
          <c:yVal>
            <c:numRef>
              <c:f>'Lambertian full profile'!$S$25:$S$64</c:f>
              <c:numCache/>
            </c:numRef>
          </c:yVal>
          <c:smooth val="0"/>
        </c:ser>
        <c:axId val="64220623"/>
        <c:axId val="41114696"/>
      </c:scatterChart>
      <c:val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crossBetween val="midCat"/>
        <c:dispUnits/>
      </c:valAx>
      <c:valAx>
        <c:axId val="41114696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181"/>
          <c:w val="0.276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35"/>
          <c:w val="0.924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1'!$A$28:$A$31</c:f>
              <c:numCache/>
            </c:numRef>
          </c:xVal>
          <c:yVal>
            <c:numRef>
              <c:f>'Black glass 1'!$C$28:$C$31</c:f>
              <c:numCache/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 val="autoZero"/>
        <c:crossBetween val="midCat"/>
        <c:dispUnits/>
      </c:val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Black Glass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125"/>
          <c:w val="0.8372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'Black glass 1'!$E$44:$E$53</c:f>
              <c:numCache/>
            </c:numRef>
          </c:xVal>
          <c:yVal>
            <c:numRef>
              <c:f>'Black glass 1'!$H$44:$H$53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crossBetween val="midCat"/>
        <c:dispUnits/>
        <c:majorUnit val="10"/>
      </c:val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75"/>
          <c:w val="0.92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2'!$A$26:$A$30</c:f>
              <c:numCache/>
            </c:numRef>
          </c:xVal>
          <c:yVal>
            <c:numRef>
              <c:f>'Black Glass 2'!$C$26:$C$30</c:f>
              <c:numCache/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 val="autoZero"/>
        <c:crossBetween val="midCat"/>
        <c:dispUnits/>
      </c:val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25"/>
          <c:w val="0.922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'Black Glass 2'!$E$43:$E$51</c:f>
              <c:numCache/>
            </c:numRef>
          </c:xVal>
          <c:yVal>
            <c:numRef>
              <c:f>'Black Glass 2'!$J$43:$J$51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'Black Glass 2'!$E$56:$E$63</c:f>
              <c:numCache/>
            </c:numRef>
          </c:xVal>
          <c:yVal>
            <c:numRef>
              <c:f>'Black Glass 2'!$J$56:$J$63</c:f>
              <c:numCache/>
            </c:numRef>
          </c:yVal>
          <c:smooth val="0"/>
        </c:ser>
        <c:axId val="4871543"/>
        <c:axId val="43843888"/>
      </c:scatterChart>
      <c:valAx>
        <c:axId val="487154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At val="1E-07"/>
        <c:crossBetween val="midCat"/>
        <c:dispUnits/>
        <c:majorUnit val="10"/>
      </c:valAx>
      <c:valAx>
        <c:axId val="438438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6"/>
          <c:w val="0.136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S-polarization</a:t>
            </a:r>
          </a:p>
        </c:rich>
      </c:tx>
      <c:layout>
        <c:manualLayout>
          <c:xMode val="factor"/>
          <c:yMode val="factor"/>
          <c:x val="0.05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75"/>
          <c:w val="0.999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Polished'!$J$55:$J$62</c:f>
              <c:numCache>
                <c:ptCount val="8"/>
                <c:pt idx="0">
                  <c:v>0.000292897615263438</c:v>
                </c:pt>
                <c:pt idx="1">
                  <c:v>0.0001861654512945803</c:v>
                </c:pt>
                <c:pt idx="2">
                  <c:v>0.00016481901850080882</c:v>
                </c:pt>
                <c:pt idx="3">
                  <c:v>0.00012334594907290985</c:v>
                </c:pt>
                <c:pt idx="4">
                  <c:v>9.712033164056197E-05</c:v>
                </c:pt>
                <c:pt idx="5">
                  <c:v>8.736196236340928E-05</c:v>
                </c:pt>
                <c:pt idx="6">
                  <c:v>7.211451036785819E-05</c:v>
                </c:pt>
                <c:pt idx="7">
                  <c:v>6.418583533017163E-05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#1'!$J$55:$J$62</c:f>
              <c:numCache>
                <c:ptCount val="8"/>
                <c:pt idx="0">
                  <c:v>0.0331259195352514</c:v>
                </c:pt>
                <c:pt idx="1">
                  <c:v>0.022279763868516905</c:v>
                </c:pt>
                <c:pt idx="2">
                  <c:v>0.018078099961583726</c:v>
                </c:pt>
                <c:pt idx="3">
                  <c:v>0.014316145068166797</c:v>
                </c:pt>
                <c:pt idx="4">
                  <c:v>0.012264169671757566</c:v>
                </c:pt>
                <c:pt idx="5">
                  <c:v>0.012410739342929656</c:v>
                </c:pt>
                <c:pt idx="6">
                  <c:v>0.007573940194250754</c:v>
                </c:pt>
                <c:pt idx="7">
                  <c:v>0.007231944294849216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#2'!$J$55:$J$62</c:f>
              <c:numCache>
                <c:ptCount val="8"/>
                <c:pt idx="0">
                  <c:v>0.03947727195270855</c:v>
                </c:pt>
                <c:pt idx="1">
                  <c:v>0.030683091682383284</c:v>
                </c:pt>
                <c:pt idx="2">
                  <c:v>0.02482030483549976</c:v>
                </c:pt>
                <c:pt idx="3">
                  <c:v>0.02154691551265647</c:v>
                </c:pt>
                <c:pt idx="4">
                  <c:v>0.01583069833694504</c:v>
                </c:pt>
                <c:pt idx="5">
                  <c:v>0.012899304913503282</c:v>
                </c:pt>
                <c:pt idx="6">
                  <c:v>0.011531321315897127</c:v>
                </c:pt>
                <c:pt idx="7">
                  <c:v>0.011189325416495588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#3'!$J$55:$J$62</c:f>
              <c:numCache>
                <c:ptCount val="8"/>
                <c:pt idx="0">
                  <c:v>0.03996583752328217</c:v>
                </c:pt>
                <c:pt idx="1">
                  <c:v>0.030438808897096468</c:v>
                </c:pt>
                <c:pt idx="2">
                  <c:v>0.02569972286253229</c:v>
                </c:pt>
                <c:pt idx="3">
                  <c:v>0.01856666553215735</c:v>
                </c:pt>
                <c:pt idx="4">
                  <c:v>0.01636812046457603</c:v>
                </c:pt>
                <c:pt idx="5">
                  <c:v>0.013192444255847459</c:v>
                </c:pt>
                <c:pt idx="6">
                  <c:v>0.010896186074151413</c:v>
                </c:pt>
                <c:pt idx="7">
                  <c:v>0.007818222979537567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Window'!$E$60:$E$65</c:f>
              <c:numCach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xVal>
          <c:yVal>
            <c:numRef>
              <c:f>'Brewster Window'!$J$60:$J$65</c:f>
              <c:numCache>
                <c:ptCount val="6"/>
                <c:pt idx="0">
                  <c:v>1.3253502574007253E-06</c:v>
                </c:pt>
                <c:pt idx="1">
                  <c:v>7.465512449636125E-07</c:v>
                </c:pt>
                <c:pt idx="2">
                  <c:v>8.623110474510352E-07</c:v>
                </c:pt>
                <c:pt idx="3">
                  <c:v>6.886713437199013E-07</c:v>
                </c:pt>
                <c:pt idx="4">
                  <c:v>8.044311462073238E-07</c:v>
                </c:pt>
                <c:pt idx="5">
                  <c:v>8.623110474510352E-07</c:v>
                </c:pt>
              </c:numCache>
            </c:numRef>
          </c:yVal>
          <c:smooth val="0"/>
        </c:ser>
        <c:ser>
          <c:idx val="8"/>
          <c:order val="7"/>
          <c:tx>
            <c:v>Black Glass 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9"/>
          <c:order val="8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2'!$E$56:$E$63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'Black Glass 2'!$J$56:$J$63</c:f>
              <c:numCache>
                <c:ptCount val="8"/>
                <c:pt idx="0">
                  <c:v>2.1996858543351414E-07</c:v>
                </c:pt>
                <c:pt idx="1">
                  <c:v>1.546028836289496E-07</c:v>
                </c:pt>
                <c:pt idx="2">
                  <c:v>1.248912009905111E-07</c:v>
                </c:pt>
                <c:pt idx="3">
                  <c:v>1.0112185487976037E-07</c:v>
                </c:pt>
                <c:pt idx="4">
                  <c:v>1.248912009905111E-07</c:v>
                </c:pt>
                <c:pt idx="5">
                  <c:v>1.605452201566373E-07</c:v>
                </c:pt>
                <c:pt idx="6">
                  <c:v>1.1894886446282342E-07</c:v>
                </c:pt>
                <c:pt idx="7">
                  <c:v>1.1300652793513572E-07</c:v>
                </c:pt>
              </c:numCache>
            </c:numRef>
          </c:yVal>
          <c:smooth val="0"/>
        </c:ser>
        <c:axId val="35443915"/>
        <c:axId val="50559780"/>
      </c:scatterChart>
      <c:val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0559780"/>
        <c:crossesAt val="1E-13"/>
        <c:crossBetween val="midCat"/>
        <c:dispUnits/>
      </c:valAx>
      <c:valAx>
        <c:axId val="505597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06575"/>
          <c:w val="0.21175"/>
          <c:h val="0.388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3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75"/>
          <c:y val="0.25175"/>
          <c:w val="0.973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'50-50 splitter'!$A$27:$A$31</c:f>
              <c:numCache/>
            </c:numRef>
          </c:xVal>
          <c:yVal>
            <c:numRef>
              <c:f>'50-50 splitter'!$C$27:$C$31</c:f>
              <c:numCache/>
            </c:numRef>
          </c:yVal>
          <c:smooth val="0"/>
        </c:ser>
        <c:axId val="52384837"/>
        <c:axId val="1701486"/>
      </c:scatterChart>
      <c:val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34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 val="autoZero"/>
        <c:crossBetween val="midCat"/>
        <c:dispUnits/>
      </c:valAx>
      <c:valAx>
        <c:axId val="17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0.017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675"/>
          <c:w val="0.912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axId val="15313375"/>
        <c:axId val="3602648"/>
      </c:scatterChart>
      <c:valAx>
        <c:axId val="1531337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crossBetween val="midCat"/>
        <c:dispUnits/>
        <c:majorUnit val="10"/>
      </c:valAx>
      <c:valAx>
        <c:axId val="36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8275"/>
          <c:w val="0.149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2"/>
          <c:w val="0.908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'Laser Black 3188'!$A$26:$A$30</c:f>
              <c:numCache/>
            </c:numRef>
          </c:xVal>
          <c:yVal>
            <c:numRef>
              <c:f>'Laser Black 3188'!$C$26:$C$30</c:f>
              <c:numCache/>
            </c:numRef>
          </c:yVal>
          <c:smooth val="0"/>
        </c:ser>
        <c:axId val="32423833"/>
        <c:axId val="23379042"/>
      </c:scatterChart>
      <c:val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 val="autoZero"/>
        <c:crossBetween val="midCat"/>
        <c:dispUnits/>
      </c:val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3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'Laser Black 3188'!$E$58:$E$65</c:f>
              <c:numCache/>
            </c:numRef>
          </c:xVal>
          <c:yVal>
            <c:numRef>
              <c:f>'Laser Black 3188'!$J$58:$J$65</c:f>
              <c:numCache/>
            </c:numRef>
          </c:yVal>
          <c:smooth val="0"/>
        </c:ser>
        <c:axId val="9084787"/>
        <c:axId val="14654220"/>
      </c:scatterChart>
      <c:valAx>
        <c:axId val="908478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crossBetween val="midCat"/>
        <c:dispUnits/>
        <c:majorUnit val="10"/>
      </c:val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BRDF of Laser Black 3188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225"/>
          <c:w val="0.934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axId val="64779117"/>
        <c:axId val="46141142"/>
      </c:scatterChart>
      <c:val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1142"/>
        <c:crosses val="autoZero"/>
        <c:crossBetween val="midCat"/>
        <c:dispUnits/>
      </c:valAx>
      <c:valAx>
        <c:axId val="461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91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10</xdr:col>
      <xdr:colOff>361950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571500" y="3429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1</xdr:row>
      <xdr:rowOff>152400</xdr:rowOff>
    </xdr:from>
    <xdr:to>
      <xdr:col>37</xdr:col>
      <xdr:colOff>123825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15954375" y="314325"/>
        <a:ext cx="6724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581025</xdr:colOff>
      <xdr:row>29</xdr:row>
      <xdr:rowOff>76200</xdr:rowOff>
    </xdr:from>
    <xdr:to>
      <xdr:col>39</xdr:col>
      <xdr:colOff>47625</xdr:colOff>
      <xdr:row>69</xdr:row>
      <xdr:rowOff>9525</xdr:rowOff>
    </xdr:to>
    <xdr:graphicFrame>
      <xdr:nvGraphicFramePr>
        <xdr:cNvPr id="3" name="Chart 2"/>
        <xdr:cNvGraphicFramePr/>
      </xdr:nvGraphicFramePr>
      <xdr:xfrm>
        <a:off x="15211425" y="4772025"/>
        <a:ext cx="8610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33</xdr:row>
      <xdr:rowOff>104775</xdr:rowOff>
    </xdr:from>
    <xdr:to>
      <xdr:col>12</xdr:col>
      <xdr:colOff>419100</xdr:colOff>
      <xdr:row>64</xdr:row>
      <xdr:rowOff>95250</xdr:rowOff>
    </xdr:to>
    <xdr:graphicFrame>
      <xdr:nvGraphicFramePr>
        <xdr:cNvPr id="4" name="Chart 2"/>
        <xdr:cNvGraphicFramePr/>
      </xdr:nvGraphicFramePr>
      <xdr:xfrm>
        <a:off x="495300" y="5448300"/>
        <a:ext cx="72390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48</xdr:row>
      <xdr:rowOff>38100</xdr:rowOff>
    </xdr:from>
    <xdr:to>
      <xdr:col>23</xdr:col>
      <xdr:colOff>542925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14935200" y="6134100"/>
        <a:ext cx="83724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962025</xdr:colOff>
      <xdr:row>0</xdr:row>
      <xdr:rowOff>0</xdr:rowOff>
    </xdr:from>
    <xdr:to>
      <xdr:col>22</xdr:col>
      <xdr:colOff>600075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4506575" y="0"/>
        <a:ext cx="82486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2</xdr:row>
      <xdr:rowOff>76200</xdr:rowOff>
    </xdr:from>
    <xdr:to>
      <xdr:col>36</xdr:col>
      <xdr:colOff>161925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23421975" y="400050"/>
        <a:ext cx="742950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95250</xdr:rowOff>
    </xdr:from>
    <xdr:to>
      <xdr:col>10</xdr:col>
      <xdr:colOff>342900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010525" y="95250"/>
        <a:ext cx="55721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41</xdr:row>
      <xdr:rowOff>142875</xdr:rowOff>
    </xdr:from>
    <xdr:to>
      <xdr:col>10</xdr:col>
      <xdr:colOff>276225</xdr:colOff>
      <xdr:row>67</xdr:row>
      <xdr:rowOff>66675</xdr:rowOff>
    </xdr:to>
    <xdr:graphicFrame>
      <xdr:nvGraphicFramePr>
        <xdr:cNvPr id="2" name="Chart 3"/>
        <xdr:cNvGraphicFramePr/>
      </xdr:nvGraphicFramePr>
      <xdr:xfrm>
        <a:off x="8220075" y="5048250"/>
        <a:ext cx="52959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123825</xdr:rowOff>
    </xdr:from>
    <xdr:to>
      <xdr:col>18</xdr:col>
      <xdr:colOff>581025</xdr:colOff>
      <xdr:row>71</xdr:row>
      <xdr:rowOff>19050</xdr:rowOff>
    </xdr:to>
    <xdr:graphicFrame>
      <xdr:nvGraphicFramePr>
        <xdr:cNvPr id="1" name="Chart 2"/>
        <xdr:cNvGraphicFramePr/>
      </xdr:nvGraphicFramePr>
      <xdr:xfrm>
        <a:off x="10610850" y="5191125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0</xdr:rowOff>
    </xdr:from>
    <xdr:to>
      <xdr:col>19</xdr:col>
      <xdr:colOff>561975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10448925" y="0"/>
        <a:ext cx="61245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2</xdr:row>
      <xdr:rowOff>0</xdr:rowOff>
    </xdr:from>
    <xdr:to>
      <xdr:col>8</xdr:col>
      <xdr:colOff>1095375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686800" y="352425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161925</xdr:rowOff>
    </xdr:from>
    <xdr:to>
      <xdr:col>24</xdr:col>
      <xdr:colOff>533400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7345025" y="161925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107</xdr:row>
      <xdr:rowOff>47625</xdr:rowOff>
    </xdr:from>
    <xdr:to>
      <xdr:col>3</xdr:col>
      <xdr:colOff>161925</xdr:colOff>
      <xdr:row>132</xdr:row>
      <xdr:rowOff>0</xdr:rowOff>
    </xdr:to>
    <xdr:graphicFrame>
      <xdr:nvGraphicFramePr>
        <xdr:cNvPr id="1" name="Chart 1"/>
        <xdr:cNvGraphicFramePr/>
      </xdr:nvGraphicFramePr>
      <xdr:xfrm>
        <a:off x="695325" y="16249650"/>
        <a:ext cx="3933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150</xdr:row>
      <xdr:rowOff>9525</xdr:rowOff>
    </xdr:from>
    <xdr:to>
      <xdr:col>4</xdr:col>
      <xdr:colOff>1095375</xdr:colOff>
      <xdr:row>186</xdr:row>
      <xdr:rowOff>104775</xdr:rowOff>
    </xdr:to>
    <xdr:graphicFrame>
      <xdr:nvGraphicFramePr>
        <xdr:cNvPr id="2" name="Chart 2"/>
        <xdr:cNvGraphicFramePr/>
      </xdr:nvGraphicFramePr>
      <xdr:xfrm>
        <a:off x="257175" y="23174325"/>
        <a:ext cx="65532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47625</xdr:rowOff>
    </xdr:from>
    <xdr:to>
      <xdr:col>10</xdr:col>
      <xdr:colOff>523875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1068050" y="400050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866775</xdr:colOff>
      <xdr:row>0</xdr:row>
      <xdr:rowOff>95250</xdr:rowOff>
    </xdr:from>
    <xdr:to>
      <xdr:col>6</xdr:col>
      <xdr:colOff>1581150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6238875" y="95250"/>
        <a:ext cx="4333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0</xdr:rowOff>
    </xdr:from>
    <xdr:to>
      <xdr:col>8</xdr:col>
      <xdr:colOff>57150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724775" y="0"/>
        <a:ext cx="4676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152400</xdr:rowOff>
    </xdr:from>
    <xdr:to>
      <xdr:col>4</xdr:col>
      <xdr:colOff>1000125</xdr:colOff>
      <xdr:row>82</xdr:row>
      <xdr:rowOff>76200</xdr:rowOff>
    </xdr:to>
    <xdr:graphicFrame>
      <xdr:nvGraphicFramePr>
        <xdr:cNvPr id="2" name="Chart 2"/>
        <xdr:cNvGraphicFramePr/>
      </xdr:nvGraphicFramePr>
      <xdr:xfrm>
        <a:off x="66675" y="6153150"/>
        <a:ext cx="746760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4</xdr:row>
      <xdr:rowOff>123825</xdr:rowOff>
    </xdr:from>
    <xdr:to>
      <xdr:col>9</xdr:col>
      <xdr:colOff>1057275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0353675" y="828675"/>
        <a:ext cx="4838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0</xdr:row>
      <xdr:rowOff>0</xdr:rowOff>
    </xdr:from>
    <xdr:to>
      <xdr:col>23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6087725" y="0"/>
        <a:ext cx="74390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2</xdr:row>
      <xdr:rowOff>133350</xdr:rowOff>
    </xdr:from>
    <xdr:to>
      <xdr:col>11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1601450" y="485775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0</xdr:row>
      <xdr:rowOff>85725</xdr:rowOff>
    </xdr:from>
    <xdr:to>
      <xdr:col>7</xdr:col>
      <xdr:colOff>695325</xdr:colOff>
      <xdr:row>37</xdr:row>
      <xdr:rowOff>57150</xdr:rowOff>
    </xdr:to>
    <xdr:graphicFrame>
      <xdr:nvGraphicFramePr>
        <xdr:cNvPr id="3" name="Chart 3"/>
        <xdr:cNvGraphicFramePr/>
      </xdr:nvGraphicFramePr>
      <xdr:xfrm>
        <a:off x="5715000" y="85725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</xdr:row>
      <xdr:rowOff>9525</xdr:rowOff>
    </xdr:from>
    <xdr:to>
      <xdr:col>11</xdr:col>
      <xdr:colOff>352425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1544300" y="361950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1</xdr:row>
      <xdr:rowOff>19050</xdr:rowOff>
    </xdr:from>
    <xdr:to>
      <xdr:col>8</xdr:col>
      <xdr:colOff>352425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7048500" y="190500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10</xdr:col>
      <xdr:colOff>352425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0896600" y="123825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0</xdr:row>
      <xdr:rowOff>76200</xdr:rowOff>
    </xdr:from>
    <xdr:to>
      <xdr:col>7</xdr:col>
      <xdr:colOff>609600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5619750" y="76200"/>
        <a:ext cx="57435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66675</xdr:rowOff>
    </xdr:from>
    <xdr:to>
      <xdr:col>6</xdr:col>
      <xdr:colOff>1219200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200775" y="66675"/>
        <a:ext cx="4010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1562100</xdr:colOff>
      <xdr:row>0</xdr:row>
      <xdr:rowOff>133350</xdr:rowOff>
    </xdr:from>
    <xdr:to>
      <xdr:col>10</xdr:col>
      <xdr:colOff>209550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10553700" y="133350"/>
        <a:ext cx="50577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60">
      <selection activeCell="V43" sqref="V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7">
      <selection activeCell="J43" sqref="J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7" width="17.57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2.75">
      <c r="A1" s="10" t="s">
        <v>0</v>
      </c>
      <c r="D1" t="s">
        <v>61</v>
      </c>
    </row>
    <row r="2" spans="1:7" ht="12.75">
      <c r="A2" t="s">
        <v>1</v>
      </c>
      <c r="B2">
        <v>0.356</v>
      </c>
      <c r="C2" t="s">
        <v>25</v>
      </c>
      <c r="D2" t="s">
        <v>38</v>
      </c>
      <c r="E2" s="40">
        <v>0.04</v>
      </c>
      <c r="F2" s="40"/>
      <c r="G2" s="40"/>
    </row>
    <row r="3" spans="1:7" ht="12.75">
      <c r="A3" t="s">
        <v>2</v>
      </c>
      <c r="B3">
        <v>0.292</v>
      </c>
      <c r="C3" t="s">
        <v>25</v>
      </c>
      <c r="D3" t="s">
        <v>37</v>
      </c>
      <c r="E3" s="40">
        <v>0.08</v>
      </c>
      <c r="F3" s="40"/>
      <c r="G3" s="40"/>
    </row>
    <row r="4" spans="1:7" ht="12.75">
      <c r="A4" t="s">
        <v>21</v>
      </c>
      <c r="B4" s="12">
        <f>B3/B2</f>
        <v>0.8202247191011236</v>
      </c>
      <c r="D4" t="s">
        <v>1</v>
      </c>
      <c r="E4" s="8">
        <v>0.01546</v>
      </c>
      <c r="F4" s="8"/>
      <c r="G4" s="8"/>
    </row>
    <row r="5" spans="2:7" ht="12.75">
      <c r="B5" s="25"/>
      <c r="D5" t="s">
        <v>2</v>
      </c>
      <c r="E5" s="8">
        <v>2.149E-06</v>
      </c>
      <c r="F5" s="8"/>
      <c r="G5" s="8"/>
    </row>
    <row r="6" spans="1:7" ht="12.75">
      <c r="A6" s="10" t="s">
        <v>26</v>
      </c>
      <c r="D6" t="s">
        <v>21</v>
      </c>
      <c r="E6" s="24">
        <f>E5/E4</f>
        <v>0.0001390038809831824</v>
      </c>
      <c r="F6" s="24"/>
      <c r="G6" s="24"/>
    </row>
    <row r="7" spans="1:7" ht="12.75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>
        <v>24</v>
      </c>
      <c r="B27" s="5">
        <v>345</v>
      </c>
      <c r="C27" s="37">
        <f>B27*$E$7</f>
        <v>0.0001534602846054334</v>
      </c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71</v>
      </c>
      <c r="B34" s="38">
        <f>A34*0.00000673-0.000000745</f>
        <v>0.000477085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34</v>
      </c>
      <c r="E43" s="5">
        <f>D43+20</f>
        <v>54</v>
      </c>
      <c r="F43" s="5">
        <v>7</v>
      </c>
      <c r="G43" s="5">
        <f>F43-1</f>
        <v>6</v>
      </c>
      <c r="H43" s="45">
        <f>0.0000064*G43-0.000000651</f>
        <v>3.7749E-05</v>
      </c>
      <c r="I43" s="45">
        <f>H43/$B$10</f>
        <v>9.204550684931507E-05</v>
      </c>
      <c r="J43" s="46">
        <f>I43*10^-6/($B$47*$B$49)</f>
        <v>3.4139193625763386E-07</v>
      </c>
    </row>
    <row r="44" spans="1:10" ht="12.75">
      <c r="A44" s="15" t="s">
        <v>23</v>
      </c>
      <c r="B44" s="59">
        <f>B40*B40*3.14</f>
        <v>0.2826</v>
      </c>
      <c r="D44" s="4">
        <v>36</v>
      </c>
      <c r="E44" s="5">
        <f aca="true" t="shared" si="0" ref="E44:E53">D44+20</f>
        <v>56</v>
      </c>
      <c r="F44" s="5">
        <v>7</v>
      </c>
      <c r="G44" s="5">
        <f aca="true" t="shared" si="1" ref="G44:G55">F44-1</f>
        <v>6</v>
      </c>
      <c r="H44" s="45">
        <f aca="true" t="shared" si="2" ref="H44:H55">0.0000064*G44-0.000000651</f>
        <v>3.7749E-05</v>
      </c>
      <c r="I44" s="45">
        <f aca="true" t="shared" si="3" ref="I44:I55">H44/$B$10</f>
        <v>9.204550684931507E-05</v>
      </c>
      <c r="J44" s="46">
        <f aca="true" t="shared" si="4" ref="J44:J55">I44*10^-6/($B$47*$B$49)</f>
        <v>3.4139193625763386E-07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40</v>
      </c>
      <c r="E45" s="5">
        <f t="shared" si="0"/>
        <v>60</v>
      </c>
      <c r="F45" s="5">
        <v>17</v>
      </c>
      <c r="G45" s="5">
        <f t="shared" si="1"/>
        <v>16</v>
      </c>
      <c r="H45" s="45">
        <f t="shared" si="2"/>
        <v>0.00010174899999999999</v>
      </c>
      <c r="I45" s="45">
        <f t="shared" si="3"/>
        <v>0.000248100301369863</v>
      </c>
      <c r="J45" s="46">
        <f t="shared" si="4"/>
        <v>9.201909486947465E-07</v>
      </c>
    </row>
    <row r="46" spans="4:10" ht="13.5" thickBot="1">
      <c r="D46" s="4">
        <v>32</v>
      </c>
      <c r="E46" s="5">
        <f t="shared" si="0"/>
        <v>52</v>
      </c>
      <c r="F46" s="27">
        <v>8.3</v>
      </c>
      <c r="G46" s="5">
        <f t="shared" si="1"/>
        <v>7.300000000000001</v>
      </c>
      <c r="H46" s="45">
        <f t="shared" si="2"/>
        <v>4.6069E-05</v>
      </c>
      <c r="I46" s="45">
        <f t="shared" si="3"/>
        <v>0.0001123326301369863</v>
      </c>
      <c r="J46" s="46">
        <f t="shared" si="4"/>
        <v>4.166358078744585E-07</v>
      </c>
    </row>
    <row r="47" spans="1:10" ht="13.5" thickBot="1">
      <c r="A47" s="23" t="s">
        <v>12</v>
      </c>
      <c r="B47" s="1">
        <v>0.385</v>
      </c>
      <c r="C47" t="s">
        <v>5</v>
      </c>
      <c r="D47" s="4">
        <v>30</v>
      </c>
      <c r="E47" s="5">
        <f t="shared" si="0"/>
        <v>50</v>
      </c>
      <c r="F47" s="27">
        <v>10</v>
      </c>
      <c r="G47" s="5">
        <f t="shared" si="1"/>
        <v>9</v>
      </c>
      <c r="H47" s="45">
        <f t="shared" si="2"/>
        <v>5.6949E-05</v>
      </c>
      <c r="I47" s="45">
        <f t="shared" si="3"/>
        <v>0.00013886194520547945</v>
      </c>
      <c r="J47" s="46">
        <f t="shared" si="4"/>
        <v>5.150316399887676E-07</v>
      </c>
    </row>
    <row r="48" spans="1:10" ht="13.5" thickBot="1">
      <c r="A48" s="23" t="s">
        <v>13</v>
      </c>
      <c r="B48" s="8">
        <f>B34/B10</f>
        <v>0.0011633031506849314</v>
      </c>
      <c r="C48" t="s">
        <v>36</v>
      </c>
      <c r="D48" s="4">
        <v>25</v>
      </c>
      <c r="E48" s="5">
        <f t="shared" si="0"/>
        <v>45</v>
      </c>
      <c r="F48" s="27">
        <v>6</v>
      </c>
      <c r="G48" s="5">
        <f t="shared" si="1"/>
        <v>5</v>
      </c>
      <c r="H48" s="45">
        <f t="shared" si="2"/>
        <v>3.1349E-05</v>
      </c>
      <c r="I48" s="45">
        <f t="shared" si="3"/>
        <v>7.644002739726028E-05</v>
      </c>
      <c r="J48" s="46">
        <f t="shared" si="4"/>
        <v>2.835120350139226E-07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20</v>
      </c>
      <c r="E49" s="5">
        <f t="shared" si="0"/>
        <v>40</v>
      </c>
      <c r="F49" s="27">
        <v>23.5</v>
      </c>
      <c r="G49" s="5">
        <f t="shared" si="1"/>
        <v>22.5</v>
      </c>
      <c r="H49" s="45">
        <f t="shared" si="2"/>
        <v>0.000143349</v>
      </c>
      <c r="I49" s="45">
        <f t="shared" si="3"/>
        <v>0.0003495359178082192</v>
      </c>
      <c r="J49" s="46">
        <f t="shared" si="4"/>
        <v>1.2964103067788698E-06</v>
      </c>
    </row>
    <row r="50" spans="1:10" ht="12.75">
      <c r="A50" s="21" t="s">
        <v>13</v>
      </c>
      <c r="D50" s="4">
        <v>15</v>
      </c>
      <c r="E50" s="5">
        <f t="shared" si="0"/>
        <v>35</v>
      </c>
      <c r="F50" s="27">
        <v>10</v>
      </c>
      <c r="G50" s="5">
        <f t="shared" si="1"/>
        <v>9</v>
      </c>
      <c r="H50" s="45">
        <f t="shared" si="2"/>
        <v>5.6949E-05</v>
      </c>
      <c r="I50" s="45">
        <f t="shared" si="3"/>
        <v>0.00013886194520547945</v>
      </c>
      <c r="J50" s="46">
        <f t="shared" si="4"/>
        <v>5.150316399887676E-07</v>
      </c>
    </row>
    <row r="51" spans="1:10" ht="13.5" thickBot="1">
      <c r="A51" s="22" t="s">
        <v>16</v>
      </c>
      <c r="B51" s="8">
        <f>B48*10^-6/(B47*B49)</f>
        <v>4.3146301070087475E-06</v>
      </c>
      <c r="D51" s="4">
        <v>10</v>
      </c>
      <c r="E51" s="5">
        <f t="shared" si="0"/>
        <v>30</v>
      </c>
      <c r="F51" s="27">
        <v>16</v>
      </c>
      <c r="G51" s="5">
        <f t="shared" si="1"/>
        <v>15</v>
      </c>
      <c r="H51" s="45">
        <f t="shared" si="2"/>
        <v>9.5349E-05</v>
      </c>
      <c r="I51" s="45">
        <f t="shared" si="3"/>
        <v>0.0002324948219178082</v>
      </c>
      <c r="J51" s="46">
        <f t="shared" si="4"/>
        <v>8.623110474510352E-07</v>
      </c>
    </row>
    <row r="52" spans="4:10" ht="12.75">
      <c r="D52" s="4">
        <v>5</v>
      </c>
      <c r="E52" s="5">
        <f t="shared" si="0"/>
        <v>25</v>
      </c>
      <c r="F52" s="27">
        <v>12</v>
      </c>
      <c r="G52" s="5">
        <f t="shared" si="1"/>
        <v>11</v>
      </c>
      <c r="H52" s="45">
        <f t="shared" si="2"/>
        <v>6.9749E-05</v>
      </c>
      <c r="I52" s="45">
        <f t="shared" si="3"/>
        <v>0.00017007290410958904</v>
      </c>
      <c r="J52" s="46">
        <f t="shared" si="4"/>
        <v>6.307914424761902E-07</v>
      </c>
    </row>
    <row r="53" spans="4:10" ht="12.75">
      <c r="D53" s="4">
        <v>0</v>
      </c>
      <c r="E53" s="5">
        <f t="shared" si="0"/>
        <v>20</v>
      </c>
      <c r="F53" s="27">
        <v>20</v>
      </c>
      <c r="G53" s="5">
        <f t="shared" si="1"/>
        <v>19</v>
      </c>
      <c r="H53" s="45">
        <f t="shared" si="2"/>
        <v>0.000120949</v>
      </c>
      <c r="I53" s="45">
        <f t="shared" si="3"/>
        <v>0.0002949167397260274</v>
      </c>
      <c r="J53" s="46">
        <f t="shared" si="4"/>
        <v>1.0938306524258804E-06</v>
      </c>
    </row>
    <row r="54" spans="3:10" ht="12.75">
      <c r="C54" t="s">
        <v>51</v>
      </c>
      <c r="D54" s="4">
        <v>355</v>
      </c>
      <c r="E54" s="5">
        <f>D54-340</f>
        <v>15</v>
      </c>
      <c r="F54" s="27">
        <v>11</v>
      </c>
      <c r="G54" s="5">
        <f t="shared" si="1"/>
        <v>10</v>
      </c>
      <c r="H54" s="45">
        <f t="shared" si="2"/>
        <v>6.334899999999999E-05</v>
      </c>
      <c r="I54" s="45">
        <f t="shared" si="3"/>
        <v>0.00015446742465753422</v>
      </c>
      <c r="J54" s="46">
        <f t="shared" si="4"/>
        <v>5.729115412324788E-07</v>
      </c>
    </row>
    <row r="55" spans="4:10" ht="13.5" thickBot="1">
      <c r="D55" s="7">
        <v>350</v>
      </c>
      <c r="E55" s="47">
        <f>D55-340</f>
        <v>10</v>
      </c>
      <c r="F55" s="47">
        <v>22</v>
      </c>
      <c r="G55" s="47">
        <f t="shared" si="1"/>
        <v>21</v>
      </c>
      <c r="H55" s="45">
        <f t="shared" si="2"/>
        <v>0.00013374899999999998</v>
      </c>
      <c r="I55" s="48">
        <f t="shared" si="3"/>
        <v>0.0003261276986301369</v>
      </c>
      <c r="J55" s="49">
        <f t="shared" si="4"/>
        <v>1.2095904549133026E-06</v>
      </c>
    </row>
    <row r="56" ht="14.25" thickBot="1" thickTop="1"/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56</v>
      </c>
      <c r="G59" s="5"/>
      <c r="H59" s="5" t="s">
        <v>57</v>
      </c>
      <c r="I59" s="5" t="s">
        <v>58</v>
      </c>
      <c r="J59" s="6" t="s">
        <v>48</v>
      </c>
    </row>
    <row r="60" spans="4:10" ht="12.75">
      <c r="D60" s="4">
        <v>40</v>
      </c>
      <c r="E60" s="5">
        <f>D60+20</f>
        <v>60</v>
      </c>
      <c r="F60" s="5">
        <v>24</v>
      </c>
      <c r="G60" s="5">
        <f aca="true" t="shared" si="5" ref="G60:G65">F60-1</f>
        <v>23</v>
      </c>
      <c r="H60" s="45">
        <f aca="true" t="shared" si="6" ref="H60:H65">0.0000064*G60-0.000000651</f>
        <v>0.000146549</v>
      </c>
      <c r="I60" s="45">
        <f aca="true" t="shared" si="7" ref="I60:I65">H60/$B$10</f>
        <v>0.0003573386575342466</v>
      </c>
      <c r="J60" s="46">
        <f aca="true" t="shared" si="8" ref="J60:J65">I60*10^-6/($B$47*$B$49)</f>
        <v>1.3253502574007253E-06</v>
      </c>
    </row>
    <row r="61" spans="4:10" ht="12.75">
      <c r="D61" s="4">
        <v>30</v>
      </c>
      <c r="E61" s="5">
        <f>D61+20</f>
        <v>50</v>
      </c>
      <c r="F61" s="5">
        <v>14</v>
      </c>
      <c r="G61" s="5">
        <f t="shared" si="5"/>
        <v>13</v>
      </c>
      <c r="H61" s="45">
        <f t="shared" si="6"/>
        <v>8.254899999999999E-05</v>
      </c>
      <c r="I61" s="45">
        <f t="shared" si="7"/>
        <v>0.00020128386301369858</v>
      </c>
      <c r="J61" s="46">
        <f t="shared" si="8"/>
        <v>7.465512449636125E-07</v>
      </c>
    </row>
    <row r="62" spans="4:10" ht="12.75">
      <c r="D62" s="4">
        <v>20</v>
      </c>
      <c r="E62" s="5">
        <f>D62+20</f>
        <v>40</v>
      </c>
      <c r="F62" s="5">
        <v>16</v>
      </c>
      <c r="G62" s="5">
        <f t="shared" si="5"/>
        <v>15</v>
      </c>
      <c r="H62" s="45">
        <f t="shared" si="6"/>
        <v>9.5349E-05</v>
      </c>
      <c r="I62" s="45">
        <f t="shared" si="7"/>
        <v>0.0002324948219178082</v>
      </c>
      <c r="J62" s="46">
        <f t="shared" si="8"/>
        <v>8.623110474510352E-07</v>
      </c>
    </row>
    <row r="63" spans="4:10" ht="12.75">
      <c r="D63" s="4">
        <v>10</v>
      </c>
      <c r="E63" s="5">
        <f>D63+20</f>
        <v>30</v>
      </c>
      <c r="F63" s="5">
        <v>13</v>
      </c>
      <c r="G63" s="5">
        <f t="shared" si="5"/>
        <v>12</v>
      </c>
      <c r="H63" s="45">
        <f t="shared" si="6"/>
        <v>7.614899999999999E-05</v>
      </c>
      <c r="I63" s="45">
        <f t="shared" si="7"/>
        <v>0.0001856783835616438</v>
      </c>
      <c r="J63" s="46">
        <f t="shared" si="8"/>
        <v>6.886713437199013E-07</v>
      </c>
    </row>
    <row r="64" spans="4:10" ht="12.75">
      <c r="D64" s="4">
        <v>0</v>
      </c>
      <c r="E64" s="5">
        <f>D64+20</f>
        <v>20</v>
      </c>
      <c r="F64" s="5">
        <v>15</v>
      </c>
      <c r="G64" s="5">
        <f t="shared" si="5"/>
        <v>14</v>
      </c>
      <c r="H64" s="45">
        <f t="shared" si="6"/>
        <v>8.894899999999999E-05</v>
      </c>
      <c r="I64" s="45">
        <f t="shared" si="7"/>
        <v>0.0002168893424657534</v>
      </c>
      <c r="J64" s="46">
        <f t="shared" si="8"/>
        <v>8.044311462073238E-07</v>
      </c>
    </row>
    <row r="65" spans="4:10" ht="13.5" thickBot="1">
      <c r="D65" s="7">
        <v>350</v>
      </c>
      <c r="E65" s="47">
        <v>10</v>
      </c>
      <c r="F65" s="47">
        <v>16</v>
      </c>
      <c r="G65" s="47">
        <f t="shared" si="5"/>
        <v>15</v>
      </c>
      <c r="H65" s="45">
        <f t="shared" si="6"/>
        <v>9.5349E-05</v>
      </c>
      <c r="I65" s="48">
        <f t="shared" si="7"/>
        <v>0.0002324948219178082</v>
      </c>
      <c r="J65" s="49">
        <f t="shared" si="8"/>
        <v>8.623110474510352E-07</v>
      </c>
    </row>
    <row r="66" ht="13.5" thickTop="1"/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zoomScale="70" zoomScaleNormal="70" zoomScalePageLayoutView="0" workbookViewId="0" topLeftCell="A1">
      <selection activeCell="M55" sqref="M55"/>
    </sheetView>
  </sheetViews>
  <sheetFormatPr defaultColWidth="9.140625" defaultRowHeight="12.75"/>
  <cols>
    <col min="1" max="1" width="28.8515625" style="0" customWidth="1"/>
    <col min="2" max="2" width="18.421875" style="0" customWidth="1"/>
    <col min="3" max="3" width="12.140625" style="0" customWidth="1"/>
    <col min="4" max="4" width="18.7109375" style="0" customWidth="1"/>
    <col min="5" max="5" width="12.8515625" style="0" customWidth="1"/>
    <col min="6" max="6" width="18.00390625" style="0" customWidth="1"/>
    <col min="7" max="7" width="12.8515625" style="0" customWidth="1"/>
    <col min="8" max="8" width="27.8515625" style="0" customWidth="1"/>
    <col min="9" max="10" width="24.421875" style="0" customWidth="1"/>
    <col min="11" max="11" width="12.8515625" style="0" customWidth="1"/>
    <col min="12" max="12" width="9.710937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41</v>
      </c>
      <c r="E2" s="1">
        <v>0.08</v>
      </c>
    </row>
    <row r="3" spans="1:5" ht="12.75">
      <c r="A3" t="s">
        <v>2</v>
      </c>
      <c r="B3">
        <v>0.292</v>
      </c>
      <c r="C3" t="s">
        <v>25</v>
      </c>
      <c r="D3" t="s">
        <v>42</v>
      </c>
      <c r="E3" s="1">
        <v>0.043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43</v>
      </c>
      <c r="E6" s="26">
        <f>E5/E4</f>
        <v>0.0001390038809831824</v>
      </c>
    </row>
    <row r="7" spans="1:5" ht="12.75">
      <c r="A7" t="s">
        <v>1</v>
      </c>
      <c r="B7">
        <f>171+187</f>
        <v>358</v>
      </c>
      <c r="C7" t="s">
        <v>27</v>
      </c>
      <c r="D7" t="s">
        <v>28</v>
      </c>
      <c r="E7" s="42">
        <f>E2*E6*E3</f>
        <v>4.781733505821475E-07</v>
      </c>
    </row>
    <row r="8" spans="1:3" ht="12.75">
      <c r="A8" t="s">
        <v>2</v>
      </c>
      <c r="B8">
        <v>187</v>
      </c>
      <c r="C8" t="s">
        <v>27</v>
      </c>
    </row>
    <row r="9" spans="1:4" ht="12.75">
      <c r="A9" t="s">
        <v>21</v>
      </c>
      <c r="B9" s="12">
        <f>B8/B7</f>
        <v>0.5223463687150838</v>
      </c>
      <c r="D9" t="s">
        <v>39</v>
      </c>
    </row>
    <row r="10" spans="1:5" ht="12.75">
      <c r="A10" t="s">
        <v>28</v>
      </c>
      <c r="B10" s="25">
        <f>B9*B4</f>
        <v>0.4284414035528215</v>
      </c>
      <c r="D10">
        <f>E2*E6</f>
        <v>1.1120310478654593E-05</v>
      </c>
      <c r="E10" t="s">
        <v>44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P23" t="s">
        <v>45</v>
      </c>
    </row>
    <row r="24" spans="1:19" ht="13.5" thickTop="1">
      <c r="A24" s="11" t="s">
        <v>6</v>
      </c>
      <c r="B24" s="2"/>
      <c r="C24" s="3"/>
      <c r="P24" t="s">
        <v>46</v>
      </c>
      <c r="R24" t="s">
        <v>47</v>
      </c>
      <c r="S24" t="s">
        <v>48</v>
      </c>
    </row>
    <row r="25" spans="1:19" ht="12.75">
      <c r="A25" s="4" t="s">
        <v>31</v>
      </c>
      <c r="B25" s="5" t="s">
        <v>18</v>
      </c>
      <c r="C25" s="6" t="s">
        <v>19</v>
      </c>
      <c r="P25">
        <f>90*Q25/50</f>
        <v>0</v>
      </c>
      <c r="Q25">
        <v>0</v>
      </c>
      <c r="R25">
        <f>Q25*PI()/100</f>
        <v>0</v>
      </c>
      <c r="S25">
        <f>COS(R25)/PI()</f>
        <v>0.3183098861837907</v>
      </c>
    </row>
    <row r="26" spans="1:19" ht="12.75">
      <c r="A26" s="4">
        <v>39</v>
      </c>
      <c r="B26" s="5">
        <v>560</v>
      </c>
      <c r="C26" s="37">
        <f aca="true" t="shared" si="0" ref="C26:C31">B26*$E$7</f>
        <v>0.00026777707632600256</v>
      </c>
      <c r="P26">
        <f aca="true" t="shared" si="1" ref="P26:P75">90*Q26/50</f>
        <v>1.8</v>
      </c>
      <c r="Q26">
        <v>1</v>
      </c>
      <c r="R26">
        <f>Q26*PI()/100</f>
        <v>0.031415926535897934</v>
      </c>
      <c r="S26">
        <f aca="true" t="shared" si="2" ref="S26:S75">COS(R26)/PI()</f>
        <v>0.31815281946996815</v>
      </c>
    </row>
    <row r="27" spans="1:19" ht="12.75">
      <c r="A27" s="4">
        <v>24</v>
      </c>
      <c r="B27" s="5">
        <v>345</v>
      </c>
      <c r="C27" s="37">
        <f t="shared" si="0"/>
        <v>0.00016496980595084087</v>
      </c>
      <c r="P27">
        <f t="shared" si="1"/>
        <v>3.6</v>
      </c>
      <c r="Q27">
        <v>2</v>
      </c>
      <c r="R27">
        <f aca="true" t="shared" si="3" ref="R27:R56">Q27*PI()/100</f>
        <v>0.06283185307179587</v>
      </c>
      <c r="S27">
        <f t="shared" si="2"/>
        <v>0.3176817743343841</v>
      </c>
    </row>
    <row r="28" spans="1:19" ht="12.75">
      <c r="A28" s="4">
        <v>4.3</v>
      </c>
      <c r="B28" s="5">
        <v>65.8</v>
      </c>
      <c r="C28" s="37">
        <f t="shared" si="0"/>
        <v>3.1463806468305304E-05</v>
      </c>
      <c r="P28">
        <f t="shared" si="1"/>
        <v>5.4</v>
      </c>
      <c r="Q28">
        <v>3</v>
      </c>
      <c r="R28">
        <f t="shared" si="3"/>
        <v>0.09424777960769379</v>
      </c>
      <c r="S28">
        <f t="shared" si="2"/>
        <v>0.31689721564171747</v>
      </c>
    </row>
    <row r="29" spans="1:19" ht="12.75">
      <c r="A29" s="4">
        <v>3</v>
      </c>
      <c r="B29" s="27">
        <v>44.5</v>
      </c>
      <c r="C29" s="37">
        <f t="shared" si="0"/>
        <v>2.1278714100905563E-05</v>
      </c>
      <c r="P29">
        <f t="shared" si="1"/>
        <v>7.2</v>
      </c>
      <c r="Q29">
        <v>4</v>
      </c>
      <c r="R29">
        <f t="shared" si="3"/>
        <v>0.12566370614359174</v>
      </c>
      <c r="S29">
        <f t="shared" si="2"/>
        <v>0.3157999176566769</v>
      </c>
    </row>
    <row r="30" spans="1:19" ht="12.75">
      <c r="A30" s="4">
        <v>1.5</v>
      </c>
      <c r="B30" s="27">
        <v>18.7</v>
      </c>
      <c r="C30" s="37">
        <f t="shared" si="0"/>
        <v>8.941841655886158E-06</v>
      </c>
      <c r="P30">
        <f t="shared" si="1"/>
        <v>9</v>
      </c>
      <c r="Q30">
        <v>5</v>
      </c>
      <c r="R30">
        <f t="shared" si="3"/>
        <v>0.15707963267948966</v>
      </c>
      <c r="S30">
        <f t="shared" si="2"/>
        <v>0.3143909632798954</v>
      </c>
    </row>
    <row r="31" spans="1:19" ht="12.75">
      <c r="A31" s="4">
        <v>94</v>
      </c>
      <c r="B31" s="27">
        <v>1350</v>
      </c>
      <c r="C31" s="37">
        <f t="shared" si="0"/>
        <v>0.000645534023285899</v>
      </c>
      <c r="P31">
        <f t="shared" si="1"/>
        <v>10.8</v>
      </c>
      <c r="Q31">
        <v>6</v>
      </c>
      <c r="R31">
        <f t="shared" si="3"/>
        <v>0.18849555921538758</v>
      </c>
      <c r="S31">
        <f t="shared" si="2"/>
        <v>0.31267174297923755</v>
      </c>
    </row>
    <row r="32" spans="1:19" ht="12.75">
      <c r="A32" s="4" t="s">
        <v>33</v>
      </c>
      <c r="B32" s="5" t="s">
        <v>40</v>
      </c>
      <c r="C32" s="6"/>
      <c r="P32">
        <f t="shared" si="1"/>
        <v>12.6</v>
      </c>
      <c r="Q32">
        <v>7</v>
      </c>
      <c r="R32">
        <f t="shared" si="3"/>
        <v>0.21991148575128552</v>
      </c>
      <c r="S32">
        <f t="shared" si="2"/>
        <v>0.3106439534175762</v>
      </c>
    </row>
    <row r="33" spans="1:19" ht="13.5" thickBot="1">
      <c r="A33" s="7">
        <v>23</v>
      </c>
      <c r="B33" s="44">
        <f>A33*0.00000686+0.000000344</f>
        <v>0.000158124</v>
      </c>
      <c r="C33" s="9"/>
      <c r="D33" s="39">
        <f>B33*10^-6</f>
        <v>1.5812399999999998E-10</v>
      </c>
      <c r="P33">
        <f t="shared" si="1"/>
        <v>14.4</v>
      </c>
      <c r="Q33">
        <v>8</v>
      </c>
      <c r="R33">
        <f t="shared" si="3"/>
        <v>0.25132741228718347</v>
      </c>
      <c r="S33">
        <f t="shared" si="2"/>
        <v>0.30830959577839073</v>
      </c>
    </row>
    <row r="34" spans="16:19" ht="14.25" thickBot="1" thickTop="1">
      <c r="P34">
        <f t="shared" si="1"/>
        <v>16.2</v>
      </c>
      <c r="Q34">
        <v>9</v>
      </c>
      <c r="R34">
        <f t="shared" si="3"/>
        <v>0.2827433388230814</v>
      </c>
      <c r="S34">
        <f t="shared" si="2"/>
        <v>0.3056709737908406</v>
      </c>
    </row>
    <row r="35" spans="1:19" ht="12.75">
      <c r="A35" s="13" t="s">
        <v>7</v>
      </c>
      <c r="B35" s="14"/>
      <c r="P35">
        <f t="shared" si="1"/>
        <v>18</v>
      </c>
      <c r="Q35">
        <v>10</v>
      </c>
      <c r="R35">
        <f t="shared" si="3"/>
        <v>0.3141592653589793</v>
      </c>
      <c r="S35">
        <f t="shared" si="2"/>
        <v>0.3027306914562628</v>
      </c>
    </row>
    <row r="36" spans="1:19" ht="12.75">
      <c r="A36" s="15" t="s">
        <v>8</v>
      </c>
      <c r="B36" s="16"/>
      <c r="P36">
        <f t="shared" si="1"/>
        <v>19.8</v>
      </c>
      <c r="Q36">
        <v>11</v>
      </c>
      <c r="R36">
        <f t="shared" si="3"/>
        <v>0.34557519189487723</v>
      </c>
      <c r="S36">
        <f t="shared" si="2"/>
        <v>0.299491650478337</v>
      </c>
    </row>
    <row r="37" spans="1:19" ht="12.75">
      <c r="A37" s="15" t="s">
        <v>17</v>
      </c>
      <c r="B37" s="16">
        <v>30</v>
      </c>
      <c r="P37">
        <f t="shared" si="1"/>
        <v>21.6</v>
      </c>
      <c r="Q37">
        <v>12</v>
      </c>
      <c r="R37">
        <f t="shared" si="3"/>
        <v>0.37699111843077515</v>
      </c>
      <c r="S37">
        <f t="shared" si="2"/>
        <v>0.29595704739945417</v>
      </c>
    </row>
    <row r="38" spans="1:19" ht="12.75">
      <c r="A38" s="15" t="s">
        <v>10</v>
      </c>
      <c r="B38" s="16">
        <v>0.635</v>
      </c>
      <c r="P38">
        <f t="shared" si="1"/>
        <v>23.4</v>
      </c>
      <c r="Q38">
        <v>13</v>
      </c>
      <c r="R38">
        <f t="shared" si="3"/>
        <v>0.4084070449666731</v>
      </c>
      <c r="S38">
        <f t="shared" si="2"/>
        <v>0.29213037044611545</v>
      </c>
    </row>
    <row r="39" spans="1:19" ht="12.75">
      <c r="A39" s="15" t="s">
        <v>35</v>
      </c>
      <c r="B39" s="16">
        <v>0.3</v>
      </c>
      <c r="P39">
        <f t="shared" si="1"/>
        <v>25.2</v>
      </c>
      <c r="Q39">
        <v>14</v>
      </c>
      <c r="R39">
        <f t="shared" si="3"/>
        <v>0.43982297150257105</v>
      </c>
      <c r="S39">
        <f t="shared" si="2"/>
        <v>0.2880153960864735</v>
      </c>
    </row>
    <row r="40" spans="1:19" ht="12.75">
      <c r="A40" s="15" t="s">
        <v>22</v>
      </c>
      <c r="B40" s="17">
        <f>B37*B37</f>
        <v>900</v>
      </c>
      <c r="P40">
        <f t="shared" si="1"/>
        <v>27</v>
      </c>
      <c r="Q40">
        <v>15</v>
      </c>
      <c r="R40">
        <f t="shared" si="3"/>
        <v>0.4712388980384689</v>
      </c>
      <c r="S40">
        <f t="shared" si="2"/>
        <v>0.2836161853034143</v>
      </c>
    </row>
    <row r="41" spans="1:19" ht="12.75">
      <c r="A41" s="15" t="s">
        <v>24</v>
      </c>
      <c r="B41" s="17">
        <f>20*20</f>
        <v>400</v>
      </c>
      <c r="P41">
        <f t="shared" si="1"/>
        <v>28.8</v>
      </c>
      <c r="Q41">
        <v>16</v>
      </c>
      <c r="R41">
        <f t="shared" si="3"/>
        <v>0.5026548245743669</v>
      </c>
      <c r="S41">
        <f t="shared" si="2"/>
        <v>0.2789370795868577</v>
      </c>
    </row>
    <row r="42" spans="1:19" ht="12.75">
      <c r="A42" s="15" t="s">
        <v>9</v>
      </c>
      <c r="B42" s="41">
        <f>B38*B38*3.14</f>
        <v>1.2661265000000002</v>
      </c>
      <c r="E42" t="s">
        <v>46</v>
      </c>
      <c r="F42" t="s">
        <v>55</v>
      </c>
      <c r="G42" s="67" t="s">
        <v>56</v>
      </c>
      <c r="H42" t="s">
        <v>60</v>
      </c>
      <c r="I42" s="67" t="s">
        <v>57</v>
      </c>
      <c r="J42" s="67" t="s">
        <v>58</v>
      </c>
      <c r="K42" t="s">
        <v>48</v>
      </c>
      <c r="P42">
        <f t="shared" si="1"/>
        <v>30.6</v>
      </c>
      <c r="Q42">
        <v>17</v>
      </c>
      <c r="R42">
        <f t="shared" si="3"/>
        <v>0.5340707511102649</v>
      </c>
      <c r="S42">
        <f t="shared" si="2"/>
        <v>0.2739826966492306</v>
      </c>
    </row>
    <row r="43" spans="1:19" ht="12.75">
      <c r="A43" s="15" t="s">
        <v>23</v>
      </c>
      <c r="B43" s="41">
        <f>B39*B39*3.14</f>
        <v>0.2826</v>
      </c>
      <c r="E43">
        <v>0</v>
      </c>
      <c r="F43">
        <v>0</v>
      </c>
      <c r="G43">
        <v>59</v>
      </c>
      <c r="H43">
        <f>G43-2</f>
        <v>57</v>
      </c>
      <c r="I43" s="8">
        <f>H43*0.00000686+0.000000344</f>
        <v>0.000391364</v>
      </c>
      <c r="J43" s="8">
        <f>I43/($D$10*$B$10)</f>
        <v>82.14337221534538</v>
      </c>
      <c r="K43" s="68">
        <f>J43*10^-6/($B$48*$B$46)</f>
        <v>0.38457768720273133</v>
      </c>
      <c r="P43">
        <f t="shared" si="1"/>
        <v>32.4</v>
      </c>
      <c r="Q43">
        <v>18</v>
      </c>
      <c r="R43">
        <f t="shared" si="3"/>
        <v>0.5654866776461628</v>
      </c>
      <c r="S43">
        <f t="shared" si="2"/>
        <v>0.2687579258683425</v>
      </c>
    </row>
    <row r="44" spans="1:19" ht="13.5" thickBot="1">
      <c r="A44" s="19" t="s">
        <v>11</v>
      </c>
      <c r="B44" s="20">
        <f>(B42/B40)-(B43/B41)</f>
        <v>0.0007003072222222222</v>
      </c>
      <c r="E44">
        <v>10</v>
      </c>
      <c r="F44">
        <v>10</v>
      </c>
      <c r="G44">
        <v>55</v>
      </c>
      <c r="H44">
        <f aca="true" t="shared" si="4" ref="H44:H50">G44-2</f>
        <v>53</v>
      </c>
      <c r="I44" s="8">
        <f aca="true" t="shared" si="5" ref="I44:I50">H44*0.00000686+0.000000344</f>
        <v>0.000363924</v>
      </c>
      <c r="J44" s="8">
        <f aca="true" t="shared" si="6" ref="J44:J50">I44/($D$10*$B$10)</f>
        <v>76.38399185948977</v>
      </c>
      <c r="K44" s="68">
        <f aca="true" t="shared" si="7" ref="K44:K50">J44*10^-6/($B$48*$B$46)</f>
        <v>0.35761350108228346</v>
      </c>
      <c r="P44">
        <f t="shared" si="1"/>
        <v>34.2</v>
      </c>
      <c r="Q44">
        <v>19</v>
      </c>
      <c r="R44">
        <f t="shared" si="3"/>
        <v>0.5969026041820606</v>
      </c>
      <c r="S44">
        <f t="shared" si="2"/>
        <v>0.26326792346216</v>
      </c>
    </row>
    <row r="45" spans="5:19" ht="13.5" thickBot="1">
      <c r="E45">
        <v>20</v>
      </c>
      <c r="F45">
        <v>20</v>
      </c>
      <c r="G45">
        <v>53</v>
      </c>
      <c r="H45">
        <f t="shared" si="4"/>
        <v>51</v>
      </c>
      <c r="I45" s="8">
        <f t="shared" si="5"/>
        <v>0.000350204</v>
      </c>
      <c r="J45" s="8">
        <f t="shared" si="6"/>
        <v>73.50430168156197</v>
      </c>
      <c r="K45" s="68">
        <f t="shared" si="7"/>
        <v>0.3441314080220596</v>
      </c>
      <c r="P45">
        <f t="shared" si="1"/>
        <v>36</v>
      </c>
      <c r="Q45">
        <v>20</v>
      </c>
      <c r="R45">
        <f t="shared" si="3"/>
        <v>0.6283185307179586</v>
      </c>
      <c r="S45">
        <f t="shared" si="2"/>
        <v>0.25751810740024195</v>
      </c>
    </row>
    <row r="46" spans="1:19" ht="13.5" thickBot="1">
      <c r="A46" s="23" t="s">
        <v>12</v>
      </c>
      <c r="B46" s="1">
        <v>0.305</v>
      </c>
      <c r="C46" t="s">
        <v>5</v>
      </c>
      <c r="D46" s="43">
        <f>COS(RADIANS(20))*10^6*B46*B44/(3.14)</f>
        <v>63.92115488745745</v>
      </c>
      <c r="E46">
        <v>30</v>
      </c>
      <c r="F46">
        <v>30</v>
      </c>
      <c r="G46">
        <v>51</v>
      </c>
      <c r="H46">
        <f t="shared" si="4"/>
        <v>49</v>
      </c>
      <c r="I46" s="8">
        <f t="shared" si="5"/>
        <v>0.000336484</v>
      </c>
      <c r="J46" s="8">
        <f t="shared" si="6"/>
        <v>70.62461150363416</v>
      </c>
      <c r="K46" s="68">
        <f t="shared" si="7"/>
        <v>0.33064931496183564</v>
      </c>
      <c r="P46">
        <f t="shared" si="1"/>
        <v>37.8</v>
      </c>
      <c r="Q46">
        <v>21</v>
      </c>
      <c r="R46">
        <f t="shared" si="3"/>
        <v>0.6597344572538566</v>
      </c>
      <c r="S46">
        <f t="shared" si="2"/>
        <v>0.2515141520568577</v>
      </c>
    </row>
    <row r="47" spans="1:19" ht="13.5" thickBot="1">
      <c r="A47" s="23" t="s">
        <v>13</v>
      </c>
      <c r="B47" s="40">
        <f>B33/(B10*D10)</f>
        <v>33.188639190572644</v>
      </c>
      <c r="C47" t="s">
        <v>36</v>
      </c>
      <c r="E47">
        <v>40</v>
      </c>
      <c r="F47">
        <v>40</v>
      </c>
      <c r="G47">
        <v>46</v>
      </c>
      <c r="H47">
        <f t="shared" si="4"/>
        <v>44</v>
      </c>
      <c r="I47" s="8">
        <f t="shared" si="5"/>
        <v>0.000302184</v>
      </c>
      <c r="J47" s="8">
        <f t="shared" si="6"/>
        <v>63.42538605881463</v>
      </c>
      <c r="K47" s="68">
        <f t="shared" si="7"/>
        <v>0.29694408231127584</v>
      </c>
      <c r="P47">
        <f t="shared" si="1"/>
        <v>39.6</v>
      </c>
      <c r="Q47">
        <v>22</v>
      </c>
      <c r="R47">
        <f t="shared" si="3"/>
        <v>0.6911503837897545</v>
      </c>
      <c r="S47">
        <f t="shared" si="2"/>
        <v>0.24526198261106497</v>
      </c>
    </row>
    <row r="48" spans="1:19" ht="13.5" thickBot="1">
      <c r="A48" s="23" t="s">
        <v>14</v>
      </c>
      <c r="B48" s="8">
        <f>B44</f>
        <v>0.0007003072222222222</v>
      </c>
      <c r="C48" t="s">
        <v>15</v>
      </c>
      <c r="E48">
        <v>50</v>
      </c>
      <c r="F48">
        <v>50</v>
      </c>
      <c r="G48">
        <v>39</v>
      </c>
      <c r="H48">
        <f t="shared" si="4"/>
        <v>37</v>
      </c>
      <c r="I48" s="8">
        <f t="shared" si="5"/>
        <v>0.00025416400000000003</v>
      </c>
      <c r="J48" s="8">
        <f t="shared" si="6"/>
        <v>53.346470436067314</v>
      </c>
      <c r="K48" s="68">
        <f t="shared" si="7"/>
        <v>0.24975675660049218</v>
      </c>
      <c r="P48">
        <f t="shared" si="1"/>
        <v>41.4</v>
      </c>
      <c r="Q48">
        <v>23</v>
      </c>
      <c r="R48">
        <f t="shared" si="3"/>
        <v>0.7225663103256523</v>
      </c>
      <c r="S48">
        <f t="shared" si="2"/>
        <v>0.2387677691992731</v>
      </c>
    </row>
    <row r="49" spans="1:19" ht="12.75">
      <c r="A49" s="21" t="s">
        <v>13</v>
      </c>
      <c r="E49">
        <v>60</v>
      </c>
      <c r="F49">
        <v>60</v>
      </c>
      <c r="G49">
        <v>32</v>
      </c>
      <c r="H49">
        <f t="shared" si="4"/>
        <v>30</v>
      </c>
      <c r="I49" s="8">
        <f t="shared" si="5"/>
        <v>0.000206144</v>
      </c>
      <c r="J49" s="8">
        <f t="shared" si="6"/>
        <v>43.267554813319975</v>
      </c>
      <c r="K49" s="68">
        <f t="shared" si="7"/>
        <v>0.2025694308897084</v>
      </c>
      <c r="P49">
        <f t="shared" si="1"/>
        <v>43.2</v>
      </c>
      <c r="Q49">
        <v>24</v>
      </c>
      <c r="R49">
        <f t="shared" si="3"/>
        <v>0.7539822368615503</v>
      </c>
      <c r="S49">
        <f t="shared" si="2"/>
        <v>0.23203792082606362</v>
      </c>
    </row>
    <row r="50" spans="1:19" ht="13.5" thickBot="1">
      <c r="A50" s="22" t="s">
        <v>16</v>
      </c>
      <c r="B50" s="8">
        <f>B47*10^-6/(B46*B48)</f>
        <v>0.1553821051789247</v>
      </c>
      <c r="D50">
        <f>1/3.14</f>
        <v>0.3184713375796178</v>
      </c>
      <c r="E50">
        <v>70</v>
      </c>
      <c r="F50">
        <v>70</v>
      </c>
      <c r="G50">
        <v>23</v>
      </c>
      <c r="H50">
        <f t="shared" si="4"/>
        <v>21</v>
      </c>
      <c r="I50" s="8">
        <f t="shared" si="5"/>
        <v>0.000144404</v>
      </c>
      <c r="J50" s="8">
        <f t="shared" si="6"/>
        <v>30.308949012644838</v>
      </c>
      <c r="K50" s="68">
        <f t="shared" si="7"/>
        <v>0.14190001211870076</v>
      </c>
      <c r="P50">
        <f t="shared" si="1"/>
        <v>45</v>
      </c>
      <c r="Q50">
        <v>25</v>
      </c>
      <c r="R50">
        <f t="shared" si="3"/>
        <v>0.7853981633974483</v>
      </c>
      <c r="S50">
        <f t="shared" si="2"/>
        <v>0.22507907903927654</v>
      </c>
    </row>
    <row r="51" spans="16:19" ht="12.75">
      <c r="P51">
        <f t="shared" si="1"/>
        <v>46.8</v>
      </c>
      <c r="Q51">
        <v>26</v>
      </c>
      <c r="R51">
        <f t="shared" si="3"/>
        <v>0.8168140899333463</v>
      </c>
      <c r="S51">
        <f t="shared" si="2"/>
        <v>0.21789811137560416</v>
      </c>
    </row>
    <row r="52" spans="16:19" ht="12.75">
      <c r="P52">
        <f t="shared" si="1"/>
        <v>48.6</v>
      </c>
      <c r="Q52">
        <v>27</v>
      </c>
      <c r="R52">
        <f t="shared" si="3"/>
        <v>0.8482300164692441</v>
      </c>
      <c r="S52">
        <f t="shared" si="2"/>
        <v>0.21050210458316196</v>
      </c>
    </row>
    <row r="53" spans="16:19" ht="12.75">
      <c r="P53">
        <f t="shared" si="1"/>
        <v>50.4</v>
      </c>
      <c r="Q53">
        <v>28</v>
      </c>
      <c r="R53">
        <f t="shared" si="3"/>
        <v>0.8796459430051421</v>
      </c>
      <c r="S53">
        <f t="shared" si="2"/>
        <v>0.20289835762772318</v>
      </c>
    </row>
    <row r="54" spans="16:19" ht="12.75">
      <c r="P54">
        <f t="shared" si="1"/>
        <v>52.2</v>
      </c>
      <c r="Q54">
        <v>29</v>
      </c>
      <c r="R54">
        <f t="shared" si="3"/>
        <v>0.9110618695410401</v>
      </c>
      <c r="S54">
        <f t="shared" si="2"/>
        <v>0.19509437448952144</v>
      </c>
    </row>
    <row r="55" spans="6:19" ht="12.75">
      <c r="F55" t="s">
        <v>49</v>
      </c>
      <c r="H55" t="s">
        <v>50</v>
      </c>
      <c r="P55">
        <f t="shared" si="1"/>
        <v>54</v>
      </c>
      <c r="Q55">
        <v>30</v>
      </c>
      <c r="R55">
        <f t="shared" si="3"/>
        <v>0.9424777960769378</v>
      </c>
      <c r="S55">
        <f t="shared" si="2"/>
        <v>0.18709785675772786</v>
      </c>
    </row>
    <row r="56" spans="6:19" ht="12.75">
      <c r="F56">
        <v>0</v>
      </c>
      <c r="G56">
        <v>0.39810891325515724</v>
      </c>
      <c r="H56">
        <v>0.3</v>
      </c>
      <c r="P56">
        <f t="shared" si="1"/>
        <v>55.8</v>
      </c>
      <c r="Q56">
        <v>31</v>
      </c>
      <c r="R56">
        <f t="shared" si="3"/>
        <v>0.9738937226128358</v>
      </c>
      <c r="S56">
        <f t="shared" si="2"/>
        <v>0.17891669602991234</v>
      </c>
    </row>
    <row r="57" spans="6:19" ht="12.75">
      <c r="F57">
        <v>10</v>
      </c>
      <c r="G57">
        <v>0.3711447271347094</v>
      </c>
      <c r="H57">
        <v>0.279</v>
      </c>
      <c r="P57">
        <f t="shared" si="1"/>
        <v>57.6</v>
      </c>
      <c r="Q57">
        <v>32</v>
      </c>
      <c r="R57">
        <f>Q57*PI()/100</f>
        <v>1.0053096491487339</v>
      </c>
      <c r="S57">
        <f t="shared" si="2"/>
        <v>0.17055896612398974</v>
      </c>
    </row>
    <row r="58" spans="6:19" ht="12.75">
      <c r="F58">
        <v>20</v>
      </c>
      <c r="G58">
        <v>0.35766263407448545</v>
      </c>
      <c r="H58">
        <v>0.269</v>
      </c>
      <c r="P58">
        <f t="shared" si="1"/>
        <v>59.4</v>
      </c>
      <c r="Q58">
        <v>33</v>
      </c>
      <c r="R58">
        <f>Q58*PI()/100</f>
        <v>1.0367255756846319</v>
      </c>
      <c r="S58">
        <f t="shared" si="2"/>
        <v>0.16203291511033632</v>
      </c>
    </row>
    <row r="59" spans="6:19" ht="12.75">
      <c r="F59">
        <v>30</v>
      </c>
      <c r="G59">
        <v>0.3441805410142616</v>
      </c>
      <c r="H59">
        <v>0.259</v>
      </c>
      <c r="P59">
        <f t="shared" si="1"/>
        <v>61.2</v>
      </c>
      <c r="Q59">
        <v>34</v>
      </c>
      <c r="R59">
        <f aca="true" t="shared" si="8" ref="R59:R65">Q59*PI()/100</f>
        <v>1.0681415022205298</v>
      </c>
      <c r="S59">
        <f t="shared" si="2"/>
        <v>0.15334695717193994</v>
      </c>
    </row>
    <row r="60" spans="6:19" ht="12.75">
      <c r="F60">
        <v>40</v>
      </c>
      <c r="G60">
        <v>0.3104753083637018</v>
      </c>
      <c r="H60">
        <v>0.234</v>
      </c>
      <c r="P60">
        <f t="shared" si="1"/>
        <v>63</v>
      </c>
      <c r="Q60">
        <v>35</v>
      </c>
      <c r="R60">
        <f t="shared" si="8"/>
        <v>1.0995574287564276</v>
      </c>
      <c r="S60">
        <f t="shared" si="2"/>
        <v>0.1445096643006174</v>
      </c>
    </row>
    <row r="61" spans="6:19" ht="12.75">
      <c r="F61">
        <v>50</v>
      </c>
      <c r="G61">
        <v>0.2632879826529181</v>
      </c>
      <c r="H61">
        <v>0.198</v>
      </c>
      <c r="P61">
        <f t="shared" si="1"/>
        <v>64.8</v>
      </c>
      <c r="Q61">
        <v>36</v>
      </c>
      <c r="R61">
        <f t="shared" si="8"/>
        <v>1.1309733552923256</v>
      </c>
      <c r="S61">
        <f t="shared" si="2"/>
        <v>0.1355297578374933</v>
      </c>
    </row>
    <row r="62" spans="6:19" ht="12.75">
      <c r="F62">
        <v>60</v>
      </c>
      <c r="G62">
        <v>0.21610065694213432</v>
      </c>
      <c r="H62">
        <v>0.163</v>
      </c>
      <c r="P62">
        <f t="shared" si="1"/>
        <v>66.6</v>
      </c>
      <c r="Q62">
        <v>37</v>
      </c>
      <c r="R62">
        <f t="shared" si="8"/>
        <v>1.1623892818282235</v>
      </c>
      <c r="S62">
        <f t="shared" si="2"/>
        <v>0.12641609986608957</v>
      </c>
    </row>
    <row r="63" spans="6:19" ht="12.75">
      <c r="F63">
        <v>70</v>
      </c>
      <c r="G63">
        <v>0.1554312381711267</v>
      </c>
      <c r="H63">
        <v>0.117</v>
      </c>
      <c r="P63">
        <f t="shared" si="1"/>
        <v>68.4</v>
      </c>
      <c r="Q63">
        <v>38</v>
      </c>
      <c r="R63">
        <f t="shared" si="8"/>
        <v>1.1938052083641213</v>
      </c>
      <c r="S63">
        <f t="shared" si="2"/>
        <v>0.11717768446651874</v>
      </c>
    </row>
    <row r="64" spans="16:19" ht="12.75">
      <c r="P64">
        <f t="shared" si="1"/>
        <v>70.2</v>
      </c>
      <c r="Q64">
        <v>39</v>
      </c>
      <c r="R64">
        <f t="shared" si="8"/>
        <v>1.2252211349000193</v>
      </c>
      <c r="S64">
        <f t="shared" si="2"/>
        <v>0.1078236288394127</v>
      </c>
    </row>
    <row r="65" spans="16:19" ht="12.75">
      <c r="P65">
        <f t="shared" si="1"/>
        <v>72</v>
      </c>
      <c r="Q65">
        <v>40</v>
      </c>
      <c r="R65">
        <f t="shared" si="8"/>
        <v>1.2566370614359172</v>
      </c>
      <c r="S65">
        <f t="shared" si="2"/>
        <v>0.09836316430834662</v>
      </c>
    </row>
    <row r="66" spans="16:19" ht="12.75">
      <c r="P66">
        <f t="shared" si="1"/>
        <v>73.8</v>
      </c>
      <c r="Q66">
        <v>41</v>
      </c>
      <c r="R66">
        <f aca="true" t="shared" si="9" ref="R66:R75">Q66*PI()/100</f>
        <v>1.288052987971815</v>
      </c>
      <c r="S66">
        <f t="shared" si="2"/>
        <v>0.08880562720963701</v>
      </c>
    </row>
    <row r="67" spans="16:19" ht="12.75">
      <c r="P67">
        <f t="shared" si="1"/>
        <v>75.6</v>
      </c>
      <c r="Q67">
        <v>42</v>
      </c>
      <c r="R67">
        <f t="shared" si="9"/>
        <v>1.3194689145077132</v>
      </c>
      <c r="S67">
        <f t="shared" si="2"/>
        <v>0.07916044967850466</v>
      </c>
    </row>
    <row r="68" spans="16:19" ht="12.75">
      <c r="P68">
        <f t="shared" si="1"/>
        <v>77.4</v>
      </c>
      <c r="Q68">
        <v>43</v>
      </c>
      <c r="R68">
        <f t="shared" si="9"/>
        <v>1.350884841043611</v>
      </c>
      <c r="S68">
        <f t="shared" si="2"/>
        <v>0.06943715034069668</v>
      </c>
    </row>
    <row r="69" spans="16:19" ht="12.75">
      <c r="P69">
        <f t="shared" si="1"/>
        <v>79.2</v>
      </c>
      <c r="Q69">
        <v>44</v>
      </c>
      <c r="R69">
        <f t="shared" si="9"/>
        <v>1.382300767579509</v>
      </c>
      <c r="S69">
        <f t="shared" si="2"/>
        <v>0.059645324918751116</v>
      </c>
    </row>
    <row r="70" spans="16:19" ht="12.75">
      <c r="P70">
        <f t="shared" si="1"/>
        <v>81</v>
      </c>
      <c r="Q70">
        <v>45</v>
      </c>
      <c r="R70">
        <f t="shared" si="9"/>
        <v>1.413716694115407</v>
      </c>
      <c r="S70">
        <f t="shared" si="2"/>
        <v>0.04979463676217809</v>
      </c>
    </row>
    <row r="71" spans="16:19" ht="12.75">
      <c r="P71">
        <f t="shared" si="1"/>
        <v>82.8</v>
      </c>
      <c r="Q71">
        <v>46</v>
      </c>
      <c r="R71">
        <f t="shared" si="9"/>
        <v>1.4451326206513047</v>
      </c>
      <c r="S71">
        <f t="shared" si="2"/>
        <v>0.03989480731090021</v>
      </c>
    </row>
    <row r="72" spans="16:19" ht="12.75">
      <c r="P72">
        <f t="shared" si="1"/>
        <v>84.6</v>
      </c>
      <c r="Q72">
        <v>47</v>
      </c>
      <c r="R72">
        <f t="shared" si="9"/>
        <v>1.4765485471872029</v>
      </c>
      <c r="S72">
        <f t="shared" si="2"/>
        <v>0.029955606501364796</v>
      </c>
    </row>
    <row r="73" spans="16:19" ht="12.75">
      <c r="P73">
        <f t="shared" si="1"/>
        <v>86.4</v>
      </c>
      <c r="Q73">
        <v>48</v>
      </c>
      <c r="R73">
        <f t="shared" si="9"/>
        <v>1.5079644737231006</v>
      </c>
      <c r="S73">
        <f t="shared" si="2"/>
        <v>0.019986843124796875</v>
      </c>
    </row>
    <row r="74" spans="16:19" ht="12.75">
      <c r="P74">
        <f t="shared" si="1"/>
        <v>88.2</v>
      </c>
      <c r="Q74">
        <v>49</v>
      </c>
      <c r="R74">
        <f t="shared" si="9"/>
        <v>1.5393804002589986</v>
      </c>
      <c r="S74">
        <f t="shared" si="2"/>
        <v>0.00999835514710552</v>
      </c>
    </row>
    <row r="75" spans="16:19" ht="12.75">
      <c r="P75">
        <f t="shared" si="1"/>
        <v>90</v>
      </c>
      <c r="Q75">
        <v>50</v>
      </c>
      <c r="R75">
        <f t="shared" si="9"/>
        <v>1.5707963267948966</v>
      </c>
      <c r="S75">
        <f t="shared" si="2"/>
        <v>1.949884326201049E-17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2.851562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38</v>
      </c>
      <c r="E2" s="40">
        <v>0.04</v>
      </c>
    </row>
    <row r="3" spans="1:5" ht="12.75">
      <c r="A3" t="s">
        <v>2</v>
      </c>
      <c r="B3">
        <v>0.292</v>
      </c>
      <c r="C3" t="s">
        <v>25</v>
      </c>
      <c r="D3" t="s">
        <v>37</v>
      </c>
      <c r="E3" s="40">
        <v>0.08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21</v>
      </c>
      <c r="E6" s="24">
        <f>E5/E4</f>
        <v>0.0001390038809831824</v>
      </c>
    </row>
    <row r="7" spans="1:5" ht="12.75">
      <c r="A7" t="s">
        <v>1</v>
      </c>
      <c r="B7">
        <v>2.13</v>
      </c>
      <c r="C7" t="s">
        <v>27</v>
      </c>
      <c r="D7" t="s">
        <v>28</v>
      </c>
      <c r="E7" s="39">
        <f>E2*E3*E6</f>
        <v>4.4481241914618376E-07</v>
      </c>
    </row>
    <row r="8" spans="1:3" ht="12.75">
      <c r="A8" t="s">
        <v>2</v>
      </c>
      <c r="B8">
        <v>1.25</v>
      </c>
      <c r="C8" t="s">
        <v>27</v>
      </c>
    </row>
    <row r="9" spans="1:2" ht="12.75">
      <c r="A9" t="s">
        <v>21</v>
      </c>
      <c r="B9" s="12">
        <f>B8/B7</f>
        <v>0.5868544600938967</v>
      </c>
    </row>
    <row r="10" spans="1:2" ht="12.75">
      <c r="A10" t="s">
        <v>28</v>
      </c>
      <c r="B10" s="25">
        <f>B9*B4</f>
        <v>0.481352534683758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/>
      <c r="B27" s="5"/>
      <c r="C27" s="37"/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1.5</v>
      </c>
      <c r="B34" s="38">
        <f>A34*0.00000673-0.000000745</f>
        <v>9.35E-06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2.75">
      <c r="A39" s="15" t="s">
        <v>10</v>
      </c>
      <c r="B39" s="16">
        <v>0.635</v>
      </c>
    </row>
    <row r="40" spans="1:2" ht="12.75">
      <c r="A40" s="15" t="s">
        <v>35</v>
      </c>
      <c r="B40" s="16">
        <v>0.3</v>
      </c>
    </row>
    <row r="41" spans="1:2" ht="12.75">
      <c r="A41" s="15" t="s">
        <v>22</v>
      </c>
      <c r="B41" s="17">
        <f>B38*B38</f>
        <v>900</v>
      </c>
    </row>
    <row r="42" spans="1:8" ht="12.75">
      <c r="A42" s="15" t="s">
        <v>24</v>
      </c>
      <c r="B42" s="17">
        <f>20*20</f>
        <v>400</v>
      </c>
      <c r="E42" t="s">
        <v>46</v>
      </c>
      <c r="F42" t="s">
        <v>52</v>
      </c>
      <c r="G42" t="s">
        <v>53</v>
      </c>
      <c r="H42" t="s">
        <v>48</v>
      </c>
    </row>
    <row r="43" spans="1:8" ht="12.75">
      <c r="A43" s="15" t="s">
        <v>9</v>
      </c>
      <c r="B43" s="18">
        <f>B39*B39*3.14</f>
        <v>1.2661265000000002</v>
      </c>
      <c r="D43">
        <v>25</v>
      </c>
      <c r="E43">
        <f>D43-$D$54</f>
        <v>70.60000000000002</v>
      </c>
      <c r="F43">
        <v>9.8</v>
      </c>
      <c r="G43">
        <f>F43-0.9</f>
        <v>8.9</v>
      </c>
      <c r="H43">
        <v>4.87433152544737E-07</v>
      </c>
    </row>
    <row r="44" spans="1:8" ht="12.75">
      <c r="A44" s="15" t="s">
        <v>23</v>
      </c>
      <c r="B44" s="18">
        <f>B40*B40*3.14</f>
        <v>0.2826</v>
      </c>
      <c r="D44">
        <v>20</v>
      </c>
      <c r="E44">
        <f aca="true" t="shared" si="0" ref="E44:E53">D44-$D$54</f>
        <v>65.60000000000002</v>
      </c>
      <c r="F44">
        <v>3.1</v>
      </c>
      <c r="G44">
        <f aca="true" t="shared" si="1" ref="G44:G53">F44-0.9</f>
        <v>2.2</v>
      </c>
      <c r="H44">
        <v>1.1586755406294884E-07</v>
      </c>
    </row>
    <row r="45" spans="1:8" ht="13.5" thickBot="1">
      <c r="A45" s="19" t="s">
        <v>11</v>
      </c>
      <c r="B45" s="20">
        <f>(B43/B41)-(B44/B42)</f>
        <v>0.0007003072222222222</v>
      </c>
      <c r="D45">
        <v>16</v>
      </c>
      <c r="E45">
        <f t="shared" si="0"/>
        <v>61.60000000000002</v>
      </c>
      <c r="F45">
        <v>2.3</v>
      </c>
      <c r="G45">
        <f t="shared" si="1"/>
        <v>1.4</v>
      </c>
      <c r="H45" s="8">
        <v>7.15E-08</v>
      </c>
    </row>
    <row r="46" spans="4:8" ht="13.5" thickBot="1">
      <c r="D46">
        <v>14</v>
      </c>
      <c r="E46">
        <f t="shared" si="0"/>
        <v>59.60000000000002</v>
      </c>
      <c r="F46">
        <v>2.2</v>
      </c>
      <c r="G46">
        <f t="shared" si="1"/>
        <v>1.3000000000000003</v>
      </c>
      <c r="H46" s="8">
        <v>6.6E-08</v>
      </c>
    </row>
    <row r="47" spans="1:8" ht="13.5" thickBot="1">
      <c r="A47" s="23" t="s">
        <v>12</v>
      </c>
      <c r="B47" s="1">
        <v>0.36</v>
      </c>
      <c r="C47" t="s">
        <v>5</v>
      </c>
      <c r="D47">
        <v>12.6</v>
      </c>
      <c r="E47">
        <f t="shared" si="0"/>
        <v>58.200000000000024</v>
      </c>
      <c r="F47">
        <v>2.4</v>
      </c>
      <c r="G47">
        <f t="shared" si="1"/>
        <v>1.5</v>
      </c>
      <c r="H47" s="8">
        <v>7.7E-08</v>
      </c>
    </row>
    <row r="48" spans="1:8" ht="13.5" thickBot="1">
      <c r="A48" s="23" t="s">
        <v>13</v>
      </c>
      <c r="B48" s="61">
        <f>B34/B10</f>
        <v>1.942443287671233E-05</v>
      </c>
      <c r="C48" t="s">
        <v>36</v>
      </c>
      <c r="D48">
        <v>8</v>
      </c>
      <c r="E48">
        <f t="shared" si="0"/>
        <v>53.60000000000002</v>
      </c>
      <c r="F48">
        <v>2.4</v>
      </c>
      <c r="G48">
        <f t="shared" si="1"/>
        <v>1.5</v>
      </c>
      <c r="H48" s="8">
        <v>7.7E-08</v>
      </c>
    </row>
    <row r="49" spans="1:8" ht="13.5" thickBot="1">
      <c r="A49" s="23" t="s">
        <v>14</v>
      </c>
      <c r="B49" s="8">
        <f>B45</f>
        <v>0.0007003072222222222</v>
      </c>
      <c r="C49" t="s">
        <v>15</v>
      </c>
      <c r="D49">
        <v>0</v>
      </c>
      <c r="E49">
        <f t="shared" si="0"/>
        <v>45.60000000000002</v>
      </c>
      <c r="F49">
        <v>1.6</v>
      </c>
      <c r="G49">
        <f t="shared" si="1"/>
        <v>0.7000000000000001</v>
      </c>
      <c r="H49" s="8">
        <v>3.27E-08</v>
      </c>
    </row>
    <row r="50" spans="1:8" ht="12.75">
      <c r="A50" s="21" t="s">
        <v>13</v>
      </c>
      <c r="D50">
        <v>-10</v>
      </c>
      <c r="E50">
        <f t="shared" si="0"/>
        <v>35.60000000000002</v>
      </c>
      <c r="F50">
        <v>1.5</v>
      </c>
      <c r="G50">
        <f t="shared" si="1"/>
        <v>0.6</v>
      </c>
      <c r="H50" s="8">
        <v>2.71E-08</v>
      </c>
    </row>
    <row r="51" spans="1:8" ht="13.5" thickBot="1">
      <c r="A51" s="22" t="s">
        <v>16</v>
      </c>
      <c r="B51" s="8">
        <f>B48*10^-6/(B47*B49)</f>
        <v>7.704726765440378E-08</v>
      </c>
      <c r="D51">
        <v>-20</v>
      </c>
      <c r="E51">
        <f t="shared" si="0"/>
        <v>25.600000000000023</v>
      </c>
      <c r="F51">
        <v>1.7</v>
      </c>
      <c r="G51">
        <f t="shared" si="1"/>
        <v>0.7999999999999999</v>
      </c>
      <c r="H51" s="8">
        <v>3.82E-08</v>
      </c>
    </row>
    <row r="52" spans="4:8" ht="12.75">
      <c r="D52">
        <v>-25</v>
      </c>
      <c r="E52">
        <f t="shared" si="0"/>
        <v>20.600000000000023</v>
      </c>
      <c r="F52">
        <v>1.9</v>
      </c>
      <c r="G52">
        <f t="shared" si="1"/>
        <v>0.9999999999999999</v>
      </c>
      <c r="H52" s="8">
        <v>4.93E-08</v>
      </c>
    </row>
    <row r="53" spans="4:8" ht="12.75">
      <c r="D53">
        <v>-30</v>
      </c>
      <c r="E53">
        <f t="shared" si="0"/>
        <v>15.600000000000023</v>
      </c>
      <c r="F53">
        <v>2.4</v>
      </c>
      <c r="G53">
        <f t="shared" si="1"/>
        <v>1.5</v>
      </c>
      <c r="H53" s="8">
        <v>7.7E-08</v>
      </c>
    </row>
    <row r="54" spans="3:4" ht="12.75">
      <c r="C54" t="s">
        <v>51</v>
      </c>
      <c r="D54">
        <f>-(360-314.4)</f>
        <v>-45.60000000000002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70" zoomScaleNormal="70" zoomScalePageLayoutView="0" workbookViewId="0" topLeftCell="A4">
      <selection activeCell="K58" sqref="K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30.140625" style="0" customWidth="1"/>
    <col min="8" max="8" width="25.140625" style="0" customWidth="1"/>
    <col min="9" max="9" width="25.57421875" style="0" customWidth="1"/>
    <col min="10" max="10" width="19.00390625" style="0" customWidth="1"/>
    <col min="11" max="12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 t="s">
        <v>72</v>
      </c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31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24</v>
      </c>
      <c r="B26" s="5">
        <v>345</v>
      </c>
      <c r="C26" s="37">
        <f>B26*$E$7</f>
        <v>0.0001534602846054334</v>
      </c>
    </row>
    <row r="27" spans="1:3" ht="12.75">
      <c r="A27" s="4">
        <v>4.3</v>
      </c>
      <c r="B27" s="5">
        <v>65.8</v>
      </c>
      <c r="C27" s="37">
        <f>B27*$E$7</f>
        <v>2.926865717981889E-05</v>
      </c>
    </row>
    <row r="28" spans="1:3" ht="12.75">
      <c r="A28" s="4">
        <v>11</v>
      </c>
      <c r="B28" s="27">
        <v>164</v>
      </c>
      <c r="C28" s="37">
        <f>B28*$E$7</f>
        <v>7.294923673997414E-05</v>
      </c>
    </row>
    <row r="29" spans="1:3" ht="12.75">
      <c r="A29" s="4">
        <v>3</v>
      </c>
      <c r="B29" s="27">
        <v>44.5</v>
      </c>
      <c r="C29" s="37">
        <f>B29*$E$7</f>
        <v>1.9794152652005176E-05</v>
      </c>
    </row>
    <row r="30" spans="1:3" ht="12.75">
      <c r="A30" s="4">
        <v>1.5</v>
      </c>
      <c r="B30" s="27">
        <v>18.7</v>
      </c>
      <c r="C30" s="37">
        <f>B30*$E$7</f>
        <v>8.317992238033636E-06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10</v>
      </c>
      <c r="B34" s="38">
        <f>A34*0.0000064+0.000000651</f>
        <v>6.4651E-05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73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D43-10</f>
        <v>15</v>
      </c>
      <c r="F43" s="5">
        <v>8.2</v>
      </c>
      <c r="G43" s="5">
        <f aca="true" t="shared" si="0" ref="G43:G51">F43-1</f>
        <v>7.199999999999999</v>
      </c>
      <c r="H43" s="45">
        <f>0.0000064*G43+0.000000651</f>
        <v>4.673099999999999E-05</v>
      </c>
      <c r="I43" s="45">
        <f>H43/$B$10</f>
        <v>0.0001139468219178082</v>
      </c>
      <c r="J43" s="46">
        <f aca="true" t="shared" si="1" ref="J43:J51">I43*10^-6/($B$47*$B$49)</f>
        <v>4.338927004302709E-07</v>
      </c>
    </row>
    <row r="44" spans="1:10" ht="12.75">
      <c r="A44" s="15" t="s">
        <v>23</v>
      </c>
      <c r="B44" s="60">
        <f>B40*B40*3.14</f>
        <v>0.2826</v>
      </c>
      <c r="D44" s="4">
        <v>30</v>
      </c>
      <c r="E44" s="5">
        <f aca="true" t="shared" si="2" ref="E44:E51">D44-10</f>
        <v>20</v>
      </c>
      <c r="F44" s="5">
        <v>4.6</v>
      </c>
      <c r="G44" s="5">
        <f t="shared" si="0"/>
        <v>3.5999999999999996</v>
      </c>
      <c r="H44" s="45">
        <f aca="true" t="shared" si="3" ref="H44:H51">0.0000064*G44+0.000000651</f>
        <v>2.3690999999999997E-05</v>
      </c>
      <c r="I44" s="45">
        <f aca="true" t="shared" si="4" ref="I44:I51">H44/$B$10</f>
        <v>5.776709589041095E-05</v>
      </c>
      <c r="J44" s="46">
        <f t="shared" si="1"/>
        <v>2.1996858543351414E-07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25</v>
      </c>
      <c r="F45" s="5">
        <v>4.7</v>
      </c>
      <c r="G45" s="5">
        <f t="shared" si="0"/>
        <v>3.7</v>
      </c>
      <c r="H45" s="45">
        <f t="shared" si="3"/>
        <v>2.4331E-05</v>
      </c>
      <c r="I45" s="45">
        <f t="shared" si="4"/>
        <v>5.932764383561644E-05</v>
      </c>
      <c r="J45" s="46">
        <f t="shared" si="1"/>
        <v>2.2591092196120187E-07</v>
      </c>
    </row>
    <row r="46" spans="4:10" ht="13.5" thickBot="1">
      <c r="D46" s="4">
        <v>40</v>
      </c>
      <c r="E46" s="5">
        <f t="shared" si="2"/>
        <v>30</v>
      </c>
      <c r="F46" s="27">
        <v>3.7</v>
      </c>
      <c r="G46" s="5">
        <f t="shared" si="0"/>
        <v>2.7</v>
      </c>
      <c r="H46" s="45">
        <f t="shared" si="3"/>
        <v>1.7931E-05</v>
      </c>
      <c r="I46" s="45">
        <f t="shared" si="4"/>
        <v>4.3722164383561646E-05</v>
      </c>
      <c r="J46" s="46">
        <f t="shared" si="1"/>
        <v>1.6648755668432496E-07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45</v>
      </c>
      <c r="E47" s="5">
        <f t="shared" si="2"/>
        <v>35</v>
      </c>
      <c r="F47" s="27">
        <v>5</v>
      </c>
      <c r="G47" s="5">
        <f t="shared" si="0"/>
        <v>4</v>
      </c>
      <c r="H47" s="45">
        <f t="shared" si="3"/>
        <v>2.6251E-05</v>
      </c>
      <c r="I47" s="45">
        <f t="shared" si="4"/>
        <v>6.400928767123288E-05</v>
      </c>
      <c r="J47" s="46">
        <f t="shared" si="1"/>
        <v>2.4373793154426493E-07</v>
      </c>
    </row>
    <row r="48" spans="1:10" ht="13.5" thickBot="1">
      <c r="A48" s="23" t="s">
        <v>13</v>
      </c>
      <c r="B48" s="8">
        <f>B34/B10</f>
        <v>0.00015764216438356166</v>
      </c>
      <c r="C48" t="s">
        <v>36</v>
      </c>
      <c r="D48" s="4">
        <v>50</v>
      </c>
      <c r="E48" s="5">
        <f t="shared" si="2"/>
        <v>40</v>
      </c>
      <c r="F48" s="27">
        <v>5.2</v>
      </c>
      <c r="G48" s="5">
        <f t="shared" si="0"/>
        <v>4.2</v>
      </c>
      <c r="H48" s="45">
        <f t="shared" si="3"/>
        <v>2.7531E-05</v>
      </c>
      <c r="I48" s="45">
        <f t="shared" si="4"/>
        <v>6.713038356164383E-05</v>
      </c>
      <c r="J48" s="46">
        <f t="shared" si="1"/>
        <v>2.5562260459964033E-07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45</v>
      </c>
      <c r="F49" s="27">
        <v>5.5</v>
      </c>
      <c r="G49" s="27">
        <f t="shared" si="0"/>
        <v>4.5</v>
      </c>
      <c r="H49" s="45">
        <f t="shared" si="3"/>
        <v>2.9451E-05</v>
      </c>
      <c r="I49" s="45">
        <f t="shared" si="4"/>
        <v>7.181202739726028E-05</v>
      </c>
      <c r="J49" s="46">
        <f t="shared" si="1"/>
        <v>2.734496141827034E-07</v>
      </c>
    </row>
    <row r="50" spans="1:10" ht="12.75">
      <c r="A50" s="21" t="s">
        <v>13</v>
      </c>
      <c r="D50" s="4">
        <v>60</v>
      </c>
      <c r="E50" s="5">
        <f t="shared" si="2"/>
        <v>50</v>
      </c>
      <c r="F50" s="27">
        <v>6</v>
      </c>
      <c r="G50" s="5">
        <f>F50-1</f>
        <v>5</v>
      </c>
      <c r="H50" s="45">
        <f t="shared" si="3"/>
        <v>3.2650999999999996E-05</v>
      </c>
      <c r="I50" s="45">
        <f>H50/$B$10</f>
        <v>7.961476712328766E-05</v>
      </c>
      <c r="J50" s="46">
        <f>I50*10^-6/($B$47*$B$49)</f>
        <v>3.0316129682114176E-07</v>
      </c>
    </row>
    <row r="51" spans="1:10" ht="13.5" thickBot="1">
      <c r="A51" s="22" t="s">
        <v>16</v>
      </c>
      <c r="B51" s="8">
        <f>B48*10^-6/(B47*B49)</f>
        <v>6.002781232055264E-07</v>
      </c>
      <c r="D51" s="4">
        <v>65</v>
      </c>
      <c r="E51" s="5">
        <f t="shared" si="2"/>
        <v>55</v>
      </c>
      <c r="F51" s="27">
        <v>7.6</v>
      </c>
      <c r="G51" s="5">
        <f t="shared" si="0"/>
        <v>6.6</v>
      </c>
      <c r="H51" s="45">
        <f t="shared" si="3"/>
        <v>4.289099999999999E-05</v>
      </c>
      <c r="I51" s="45">
        <f t="shared" si="4"/>
        <v>0.00010458353424657532</v>
      </c>
      <c r="J51" s="46">
        <f t="shared" si="1"/>
        <v>3.9823868126414477E-07</v>
      </c>
    </row>
    <row r="52" ht="13.5" thickBot="1"/>
    <row r="53" spans="4:10" ht="13.5" thickTop="1">
      <c r="D53" s="11" t="s">
        <v>59</v>
      </c>
      <c r="E53" s="2"/>
      <c r="F53" s="2"/>
      <c r="G53" s="2"/>
      <c r="H53" s="2"/>
      <c r="I53" s="2"/>
      <c r="J53" s="3"/>
    </row>
    <row r="54" spans="3:10" ht="12.75">
      <c r="C54" t="s">
        <v>71</v>
      </c>
      <c r="D54" s="4"/>
      <c r="E54" s="5"/>
      <c r="F54" s="5"/>
      <c r="G54" s="5"/>
      <c r="H54" s="5"/>
      <c r="I54" s="5"/>
      <c r="J54" s="6"/>
    </row>
    <row r="55" spans="4:10" ht="12.75">
      <c r="D55" s="4" t="s">
        <v>46</v>
      </c>
      <c r="E55" s="5" t="s">
        <v>55</v>
      </c>
      <c r="F55" s="5" t="s">
        <v>56</v>
      </c>
      <c r="G55" s="27" t="s">
        <v>73</v>
      </c>
      <c r="H55" s="5" t="s">
        <v>57</v>
      </c>
      <c r="I55" s="5" t="s">
        <v>58</v>
      </c>
      <c r="J55" s="6" t="s">
        <v>48</v>
      </c>
    </row>
    <row r="56" spans="4:12" ht="12.75">
      <c r="D56" s="4">
        <v>25</v>
      </c>
      <c r="E56" s="5">
        <f>D56-10</f>
        <v>15</v>
      </c>
      <c r="F56" s="5">
        <v>4.6</v>
      </c>
      <c r="G56" s="5">
        <f aca="true" t="shared" si="5" ref="G56:G63">F56-1</f>
        <v>3.5999999999999996</v>
      </c>
      <c r="H56" s="45">
        <f>0.0000064*G56+0.000000651</f>
        <v>2.3690999999999997E-05</v>
      </c>
      <c r="I56" s="45">
        <f aca="true" t="shared" si="6" ref="I56:I63">H56/$B$10</f>
        <v>5.776709589041095E-05</v>
      </c>
      <c r="J56" s="46">
        <f aca="true" t="shared" si="7" ref="J56:J63">I56*10^-6/($B$47*$B$49)</f>
        <v>2.1996858543351414E-07</v>
      </c>
      <c r="L56" s="67"/>
    </row>
    <row r="57" spans="4:10" ht="12.75">
      <c r="D57" s="4">
        <v>30</v>
      </c>
      <c r="E57" s="5">
        <f aca="true" t="shared" si="8" ref="E57:E63">D57-10</f>
        <v>20</v>
      </c>
      <c r="F57" s="5">
        <v>3.5</v>
      </c>
      <c r="G57" s="5">
        <f t="shared" si="5"/>
        <v>2.5</v>
      </c>
      <c r="H57" s="45">
        <f aca="true" t="shared" si="9" ref="H57:H63">0.0000064*G57+0.000000651</f>
        <v>1.6651E-05</v>
      </c>
      <c r="I57" s="45">
        <f t="shared" si="6"/>
        <v>4.0601068493150685E-05</v>
      </c>
      <c r="J57" s="46">
        <f t="shared" si="7"/>
        <v>1.546028836289496E-07</v>
      </c>
    </row>
    <row r="58" spans="4:10" ht="12.75">
      <c r="D58" s="4">
        <v>35</v>
      </c>
      <c r="E58" s="5">
        <f t="shared" si="8"/>
        <v>25</v>
      </c>
      <c r="F58" s="5">
        <v>3</v>
      </c>
      <c r="G58" s="5">
        <f t="shared" si="5"/>
        <v>2</v>
      </c>
      <c r="H58" s="45">
        <f t="shared" si="9"/>
        <v>1.3450999999999999E-05</v>
      </c>
      <c r="I58" s="45">
        <f t="shared" si="6"/>
        <v>3.279832876712329E-05</v>
      </c>
      <c r="J58" s="46">
        <f t="shared" si="7"/>
        <v>1.248912009905111E-07</v>
      </c>
    </row>
    <row r="59" spans="4:10" ht="12.75">
      <c r="D59" s="4">
        <v>40</v>
      </c>
      <c r="E59" s="5">
        <f t="shared" si="8"/>
        <v>30</v>
      </c>
      <c r="F59" s="27">
        <v>2.6</v>
      </c>
      <c r="G59" s="5">
        <f t="shared" si="5"/>
        <v>1.6</v>
      </c>
      <c r="H59" s="45">
        <f t="shared" si="9"/>
        <v>1.0891E-05</v>
      </c>
      <c r="I59" s="45">
        <f t="shared" si="6"/>
        <v>2.655613698630137E-05</v>
      </c>
      <c r="J59" s="46">
        <f t="shared" si="7"/>
        <v>1.0112185487976037E-07</v>
      </c>
    </row>
    <row r="60" spans="4:10" ht="12.75">
      <c r="D60" s="4">
        <v>45</v>
      </c>
      <c r="E60" s="5">
        <f t="shared" si="8"/>
        <v>35</v>
      </c>
      <c r="F60" s="27">
        <v>3</v>
      </c>
      <c r="G60" s="5">
        <f t="shared" si="5"/>
        <v>2</v>
      </c>
      <c r="H60" s="45">
        <f t="shared" si="9"/>
        <v>1.3450999999999999E-05</v>
      </c>
      <c r="I60" s="45">
        <f t="shared" si="6"/>
        <v>3.279832876712329E-05</v>
      </c>
      <c r="J60" s="46">
        <f t="shared" si="7"/>
        <v>1.248912009905111E-07</v>
      </c>
    </row>
    <row r="61" spans="4:10" ht="12.75">
      <c r="D61" s="4">
        <v>50</v>
      </c>
      <c r="E61" s="5">
        <f t="shared" si="8"/>
        <v>40</v>
      </c>
      <c r="F61" s="27">
        <v>3.6</v>
      </c>
      <c r="G61" s="5">
        <f t="shared" si="5"/>
        <v>2.6</v>
      </c>
      <c r="H61" s="45">
        <f t="shared" si="9"/>
        <v>1.7291E-05</v>
      </c>
      <c r="I61" s="45">
        <f t="shared" si="6"/>
        <v>4.216161643835617E-05</v>
      </c>
      <c r="J61" s="46">
        <f t="shared" si="7"/>
        <v>1.605452201566373E-07</v>
      </c>
    </row>
    <row r="62" spans="4:10" ht="12.75">
      <c r="D62" s="4">
        <v>55</v>
      </c>
      <c r="E62" s="5">
        <f t="shared" si="8"/>
        <v>45</v>
      </c>
      <c r="F62" s="27">
        <v>2.9</v>
      </c>
      <c r="G62" s="5">
        <f t="shared" si="5"/>
        <v>1.9</v>
      </c>
      <c r="H62" s="45">
        <f t="shared" si="9"/>
        <v>1.2810999999999998E-05</v>
      </c>
      <c r="I62" s="45">
        <f t="shared" si="6"/>
        <v>3.12377808219178E-05</v>
      </c>
      <c r="J62" s="46">
        <f t="shared" si="7"/>
        <v>1.1894886446282342E-07</v>
      </c>
    </row>
    <row r="63" spans="4:10" ht="12.75">
      <c r="D63" s="4">
        <v>60</v>
      </c>
      <c r="E63" s="5">
        <f t="shared" si="8"/>
        <v>50</v>
      </c>
      <c r="F63" s="27">
        <v>2.8</v>
      </c>
      <c r="G63" s="5">
        <f t="shared" si="5"/>
        <v>1.7999999999999998</v>
      </c>
      <c r="H63" s="45">
        <f t="shared" si="9"/>
        <v>1.2170999999999997E-05</v>
      </c>
      <c r="I63" s="45">
        <f t="shared" si="6"/>
        <v>2.9677232876712323E-05</v>
      </c>
      <c r="J63" s="46">
        <f t="shared" si="7"/>
        <v>1.1300652793513572E-07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="70" zoomScaleNormal="70" zoomScalePageLayoutView="0" workbookViewId="0" topLeftCell="A129">
      <selection activeCell="H25" sqref="H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17.5742187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14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1:3" ht="34.5">
      <c r="A23" s="66" t="s">
        <v>77</v>
      </c>
      <c r="B23" s="70"/>
      <c r="C23" s="71"/>
    </row>
    <row r="24" ht="13.5" thickBot="1"/>
    <row r="25" spans="1:3" ht="13.5" thickTop="1">
      <c r="A25" s="11" t="s">
        <v>6</v>
      </c>
      <c r="B25" s="2"/>
      <c r="C25" s="3"/>
    </row>
    <row r="26" spans="1:3" ht="25.5">
      <c r="A26" s="4" t="s">
        <v>65</v>
      </c>
      <c r="B26" s="5" t="s">
        <v>18</v>
      </c>
      <c r="C26" s="69" t="s">
        <v>19</v>
      </c>
    </row>
    <row r="27" spans="1:3" ht="12.75">
      <c r="A27" s="4">
        <v>68</v>
      </c>
      <c r="B27" s="5">
        <v>116</v>
      </c>
      <c r="C27" s="37">
        <f>B27*$E$7</f>
        <v>0.37120000000000003</v>
      </c>
    </row>
    <row r="28" spans="1:3" ht="12.75">
      <c r="A28" s="4">
        <v>122</v>
      </c>
      <c r="B28" s="5">
        <v>201</v>
      </c>
      <c r="C28" s="37">
        <f>B28*$E$7</f>
        <v>0.6432</v>
      </c>
    </row>
    <row r="29" spans="1:3" ht="12.75">
      <c r="A29" s="4">
        <v>162</v>
      </c>
      <c r="B29" s="5">
        <v>270</v>
      </c>
      <c r="C29" s="37">
        <f>B29*$E$7</f>
        <v>0.864</v>
      </c>
    </row>
    <row r="30" spans="1:3" ht="12.75">
      <c r="A30" s="4">
        <v>27.6</v>
      </c>
      <c r="B30" s="27">
        <v>46</v>
      </c>
      <c r="C30" s="37">
        <f>B30*$E$7</f>
        <v>0.1472</v>
      </c>
    </row>
    <row r="31" spans="1:3" ht="12.75">
      <c r="A31" s="4">
        <v>9.1</v>
      </c>
      <c r="B31" s="27">
        <v>16.4</v>
      </c>
      <c r="C31" s="37">
        <f>B31*$E$7</f>
        <v>0.05248</v>
      </c>
    </row>
    <row r="32" spans="1:3" ht="12.75">
      <c r="A32" s="4"/>
      <c r="B32" s="27"/>
      <c r="C32" s="37"/>
    </row>
    <row r="33" spans="1:3" ht="12.75">
      <c r="A33" s="4"/>
      <c r="B33" s="5"/>
      <c r="C33" s="6"/>
    </row>
    <row r="34" spans="1:3" ht="12.75">
      <c r="A34" s="4" t="s">
        <v>66</v>
      </c>
      <c r="B34" s="5" t="s">
        <v>20</v>
      </c>
      <c r="C34" s="6"/>
    </row>
    <row r="35" spans="1:3" ht="13.5" thickBot="1">
      <c r="A35" s="7">
        <v>0.071</v>
      </c>
      <c r="B35" s="38">
        <f>A35*0.00529+0.00425</f>
        <v>0.004625590000000001</v>
      </c>
      <c r="C35" s="9"/>
    </row>
    <row r="36" ht="14.25" thickBot="1" thickTop="1"/>
    <row r="37" spans="1:2" ht="12.75">
      <c r="A37" s="13" t="s">
        <v>7</v>
      </c>
      <c r="B37" s="14"/>
    </row>
    <row r="38" spans="1:2" ht="12.75">
      <c r="A38" s="15" t="s">
        <v>8</v>
      </c>
      <c r="B38" s="16"/>
    </row>
    <row r="39" spans="1:2" ht="12.75">
      <c r="A39" s="15" t="s">
        <v>17</v>
      </c>
      <c r="B39" s="16">
        <v>30</v>
      </c>
    </row>
    <row r="40" spans="1:2" ht="12.75">
      <c r="A40" s="15" t="s">
        <v>10</v>
      </c>
      <c r="B40" s="16">
        <v>0.635</v>
      </c>
    </row>
    <row r="41" spans="1:2" ht="12.75">
      <c r="A41" s="15" t="s">
        <v>35</v>
      </c>
      <c r="B41" s="16">
        <v>0.3</v>
      </c>
    </row>
    <row r="42" spans="1:2" ht="12.75">
      <c r="A42" s="15" t="s">
        <v>22</v>
      </c>
      <c r="B42" s="17">
        <f>B39*B39</f>
        <v>900</v>
      </c>
    </row>
    <row r="43" spans="1:2" ht="12.75">
      <c r="A43" s="15" t="s">
        <v>24</v>
      </c>
      <c r="B43" s="17">
        <f>20*20</f>
        <v>400</v>
      </c>
    </row>
    <row r="44" spans="1:2" ht="12.75">
      <c r="A44" s="15" t="s">
        <v>9</v>
      </c>
      <c r="B44" s="18">
        <f>B40*B40*3.14</f>
        <v>1.2661265000000002</v>
      </c>
    </row>
    <row r="45" spans="1:2" ht="12.75">
      <c r="A45" s="15" t="s">
        <v>23</v>
      </c>
      <c r="B45" s="41">
        <f>B41*B41*3.14</f>
        <v>0.2826</v>
      </c>
    </row>
    <row r="46" spans="1:2" ht="13.5" thickBot="1">
      <c r="A46" s="19" t="s">
        <v>11</v>
      </c>
      <c r="B46" s="20">
        <f>(B44/B42)-(B45/B43)</f>
        <v>0.0007003072222222222</v>
      </c>
    </row>
    <row r="47" ht="13.5" thickBot="1"/>
    <row r="48" spans="1:3" ht="13.5" thickBot="1">
      <c r="A48" s="23" t="s">
        <v>12</v>
      </c>
      <c r="B48" s="58">
        <v>0.375</v>
      </c>
      <c r="C48" t="s">
        <v>5</v>
      </c>
    </row>
    <row r="49" spans="1:3" ht="13.5" thickBot="1">
      <c r="A49" s="23" t="s">
        <v>13</v>
      </c>
      <c r="B49" s="8">
        <f>B35/B10</f>
        <v>0.01127883589041096</v>
      </c>
      <c r="C49" t="s">
        <v>36</v>
      </c>
    </row>
    <row r="50" spans="1:3" ht="13.5" thickBot="1">
      <c r="A50" s="23" t="s">
        <v>14</v>
      </c>
      <c r="B50" s="8">
        <f>B46</f>
        <v>0.0007003072222222222</v>
      </c>
      <c r="C50" t="s">
        <v>15</v>
      </c>
    </row>
    <row r="51" ht="12.75">
      <c r="A51" s="21" t="s">
        <v>13</v>
      </c>
    </row>
    <row r="52" spans="1:2" ht="13.5" thickBot="1">
      <c r="A52" s="22" t="s">
        <v>16</v>
      </c>
      <c r="B52" s="8">
        <f>B49*10^-6/(B48*B50)</f>
        <v>4.294814440485454E-05</v>
      </c>
    </row>
    <row r="53" spans="1:2" ht="12.75">
      <c r="A53" s="5"/>
      <c r="B53" s="8"/>
    </row>
    <row r="54" spans="1:2" ht="12.75">
      <c r="A54" s="5"/>
      <c r="B54" s="8"/>
    </row>
    <row r="55" spans="1:2" ht="12.75">
      <c r="A55" s="5"/>
      <c r="B55" s="8"/>
    </row>
    <row r="57" ht="12.75">
      <c r="A57" t="s">
        <v>74</v>
      </c>
    </row>
    <row r="58" spans="1:3" ht="12.75">
      <c r="A58" t="s">
        <v>75</v>
      </c>
      <c r="C58" t="s">
        <v>51</v>
      </c>
    </row>
    <row r="59" ht="12.75">
      <c r="A59" t="s">
        <v>76</v>
      </c>
    </row>
    <row r="60" ht="12.75">
      <c r="A60" s="67" t="s">
        <v>79</v>
      </c>
    </row>
    <row r="61" ht="13.5" thickBot="1"/>
    <row r="62" spans="1:7" ht="13.5" thickTop="1">
      <c r="A62" s="11" t="s">
        <v>54</v>
      </c>
      <c r="B62" s="2"/>
      <c r="C62" s="2"/>
      <c r="D62" s="2"/>
      <c r="E62" s="2"/>
      <c r="F62" s="2"/>
      <c r="G62" s="3"/>
    </row>
    <row r="63" spans="1:7" ht="12.75">
      <c r="A63" s="4"/>
      <c r="B63" s="5"/>
      <c r="C63" s="5"/>
      <c r="D63" s="5"/>
      <c r="E63" s="5"/>
      <c r="F63" s="5"/>
      <c r="G63" s="6"/>
    </row>
    <row r="64" spans="1:7" ht="12.75">
      <c r="A64" s="4" t="s">
        <v>46</v>
      </c>
      <c r="B64" s="5" t="s">
        <v>55</v>
      </c>
      <c r="C64" s="5" t="s">
        <v>67</v>
      </c>
      <c r="D64" s="27" t="s">
        <v>60</v>
      </c>
      <c r="E64" s="5" t="s">
        <v>57</v>
      </c>
      <c r="F64" s="5" t="s">
        <v>58</v>
      </c>
      <c r="G64" s="6" t="s">
        <v>48</v>
      </c>
    </row>
    <row r="65" spans="1:7" ht="12.75">
      <c r="A65" s="4">
        <v>14</v>
      </c>
      <c r="B65" s="5">
        <f>A65-10</f>
        <v>4</v>
      </c>
      <c r="C65" s="5">
        <v>12.8</v>
      </c>
      <c r="D65" s="5">
        <f>C65-0.001</f>
        <v>12.799000000000001</v>
      </c>
      <c r="E65" s="45">
        <f>0.00529*D65+0.00425</f>
        <v>0.07195671000000002</v>
      </c>
      <c r="F65" s="45">
        <f>E65/$B$10</f>
        <v>0.17545608739726032</v>
      </c>
      <c r="G65" s="46">
        <f>F65*10^-6/($B$48*$B$50)</f>
        <v>0.0006681109160081722</v>
      </c>
    </row>
    <row r="66" spans="1:7" ht="12.75">
      <c r="A66" s="4">
        <v>20</v>
      </c>
      <c r="B66" s="5">
        <f aca="true" t="shared" si="0" ref="B66:B76">A66-10</f>
        <v>10</v>
      </c>
      <c r="C66" s="5">
        <v>5</v>
      </c>
      <c r="D66" s="5">
        <f aca="true" t="shared" si="1" ref="D66:D76">C66-0.001</f>
        <v>4.999</v>
      </c>
      <c r="E66" s="45">
        <f>0.00529*D66+0.00425</f>
        <v>0.03069471</v>
      </c>
      <c r="F66" s="45">
        <f>E66/$B$10</f>
        <v>0.07484463534246576</v>
      </c>
      <c r="G66" s="46">
        <f>F66*10^-6/($B$48*$B$50)</f>
        <v>0.0002849973381871572</v>
      </c>
    </row>
    <row r="67" spans="1:7" ht="12.75">
      <c r="A67" s="4">
        <v>25</v>
      </c>
      <c r="B67" s="5">
        <f>A67-10</f>
        <v>15</v>
      </c>
      <c r="C67" s="5">
        <v>1.4</v>
      </c>
      <c r="D67" s="5">
        <f>C67-0.001</f>
        <v>1.399</v>
      </c>
      <c r="E67" s="45">
        <f aca="true" t="shared" si="2" ref="E67:E76">0.00529*D67+0.00425</f>
        <v>0.011650710000000002</v>
      </c>
      <c r="F67" s="45">
        <f aca="true" t="shared" si="3" ref="F67:F76">E67/$B$10</f>
        <v>0.02840858054794521</v>
      </c>
      <c r="G67" s="46">
        <f aca="true" t="shared" si="4" ref="G67:G76">F67*10^-6/($B$48*$B$50)</f>
        <v>0.0001081756868851504</v>
      </c>
    </row>
    <row r="68" spans="1:7" ht="12.75">
      <c r="A68" s="4">
        <v>30</v>
      </c>
      <c r="B68" s="5">
        <f t="shared" si="0"/>
        <v>20</v>
      </c>
      <c r="C68" s="5">
        <v>1.4</v>
      </c>
      <c r="D68" s="5">
        <f t="shared" si="1"/>
        <v>1.399</v>
      </c>
      <c r="E68" s="45">
        <f t="shared" si="2"/>
        <v>0.011650710000000002</v>
      </c>
      <c r="F68" s="45">
        <f t="shared" si="3"/>
        <v>0.02840858054794521</v>
      </c>
      <c r="G68" s="46">
        <f t="shared" si="4"/>
        <v>0.0001081756868851504</v>
      </c>
    </row>
    <row r="69" spans="1:7" ht="12.75">
      <c r="A69" s="4">
        <v>35</v>
      </c>
      <c r="B69" s="5">
        <f t="shared" si="0"/>
        <v>25</v>
      </c>
      <c r="C69" s="5">
        <v>0.8</v>
      </c>
      <c r="D69" s="5">
        <f t="shared" si="1"/>
        <v>0.799</v>
      </c>
      <c r="E69" s="45">
        <f t="shared" si="2"/>
        <v>0.008476710000000002</v>
      </c>
      <c r="F69" s="45">
        <f t="shared" si="3"/>
        <v>0.020669238082191784</v>
      </c>
      <c r="G69" s="46">
        <f t="shared" si="4"/>
        <v>7.870541166814926E-05</v>
      </c>
    </row>
    <row r="70" spans="1:7" ht="12.75">
      <c r="A70" s="4">
        <v>40</v>
      </c>
      <c r="B70" s="5">
        <f t="shared" si="0"/>
        <v>30</v>
      </c>
      <c r="C70" s="27">
        <v>0.51</v>
      </c>
      <c r="D70" s="5">
        <f t="shared" si="1"/>
        <v>0.509</v>
      </c>
      <c r="E70" s="45">
        <f t="shared" si="2"/>
        <v>0.00694261</v>
      </c>
      <c r="F70" s="45">
        <f t="shared" si="3"/>
        <v>0.016928555890410958</v>
      </c>
      <c r="G70" s="46">
        <f t="shared" si="4"/>
        <v>6.446144531326537E-05</v>
      </c>
    </row>
    <row r="71" spans="1:7" ht="12.75">
      <c r="A71" s="4">
        <v>45</v>
      </c>
      <c r="B71" s="5">
        <f t="shared" si="0"/>
        <v>35</v>
      </c>
      <c r="C71" s="27">
        <v>0.37</v>
      </c>
      <c r="D71" s="5">
        <f t="shared" si="1"/>
        <v>0.369</v>
      </c>
      <c r="E71" s="45">
        <f t="shared" si="2"/>
        <v>0.006202010000000001</v>
      </c>
      <c r="F71" s="45">
        <f t="shared" si="3"/>
        <v>0.015122709315068495</v>
      </c>
      <c r="G71" s="46">
        <f t="shared" si="4"/>
        <v>5.758504776263178E-05</v>
      </c>
    </row>
    <row r="72" spans="1:7" ht="12.75">
      <c r="A72" s="4">
        <v>50</v>
      </c>
      <c r="B72" s="5">
        <f t="shared" si="0"/>
        <v>40</v>
      </c>
      <c r="C72" s="27">
        <v>0.3</v>
      </c>
      <c r="D72" s="5">
        <f t="shared" si="1"/>
        <v>0.299</v>
      </c>
      <c r="E72" s="45">
        <f>0.00529*D72+0.00425</f>
        <v>0.00583171</v>
      </c>
      <c r="F72" s="45">
        <f>E72/$B$10</f>
        <v>0.014219786027397261</v>
      </c>
      <c r="G72" s="46">
        <f>F72*10^-6/($B$48*$B$50)</f>
        <v>5.414684898731497E-05</v>
      </c>
    </row>
    <row r="73" spans="1:7" ht="12.75">
      <c r="A73" s="4">
        <v>55</v>
      </c>
      <c r="B73" s="5">
        <f t="shared" si="0"/>
        <v>45</v>
      </c>
      <c r="C73" s="27">
        <v>0.25</v>
      </c>
      <c r="D73" s="5">
        <f t="shared" si="1"/>
        <v>0.249</v>
      </c>
      <c r="E73" s="45">
        <f>0.00529*D73+0.00425</f>
        <v>0.00556721</v>
      </c>
      <c r="F73" s="45">
        <f>E73/$B$10</f>
        <v>0.01357484082191781</v>
      </c>
      <c r="G73" s="46">
        <f>F73*10^-6/($B$48*$B$50)</f>
        <v>5.169099271923155E-05</v>
      </c>
    </row>
    <row r="74" spans="1:7" ht="12.75">
      <c r="A74" s="4">
        <v>60</v>
      </c>
      <c r="B74" s="5">
        <f t="shared" si="0"/>
        <v>50</v>
      </c>
      <c r="C74" s="27">
        <v>0.26</v>
      </c>
      <c r="D74" s="5">
        <f t="shared" si="1"/>
        <v>0.259</v>
      </c>
      <c r="E74" s="45">
        <f>0.00529*D74+0.00425</f>
        <v>0.00562011</v>
      </c>
      <c r="F74" s="45">
        <f>E74/$B$10</f>
        <v>0.0137038298630137</v>
      </c>
      <c r="G74" s="46">
        <f>F74*10^-6/($B$48*$B$50)</f>
        <v>5.218216397284823E-05</v>
      </c>
    </row>
    <row r="75" spans="1:7" ht="12.75">
      <c r="A75" s="4">
        <v>64</v>
      </c>
      <c r="B75" s="5">
        <f t="shared" si="0"/>
        <v>54</v>
      </c>
      <c r="C75" s="27">
        <v>0.28</v>
      </c>
      <c r="D75" s="5">
        <f t="shared" si="1"/>
        <v>0.279</v>
      </c>
      <c r="E75" s="45">
        <f t="shared" si="2"/>
        <v>0.005725910000000001</v>
      </c>
      <c r="F75" s="45">
        <f t="shared" si="3"/>
        <v>0.013961807945205481</v>
      </c>
      <c r="G75" s="46">
        <f t="shared" si="4"/>
        <v>5.3164506480081604E-05</v>
      </c>
    </row>
    <row r="76" spans="1:7" ht="12.75">
      <c r="A76" s="4">
        <v>66</v>
      </c>
      <c r="B76" s="5">
        <f t="shared" si="0"/>
        <v>56</v>
      </c>
      <c r="C76" s="27">
        <v>0.27</v>
      </c>
      <c r="D76" s="5">
        <f t="shared" si="1"/>
        <v>0.269</v>
      </c>
      <c r="E76" s="45">
        <f t="shared" si="2"/>
        <v>0.005673010000000001</v>
      </c>
      <c r="F76" s="45">
        <f t="shared" si="3"/>
        <v>0.013832818904109591</v>
      </c>
      <c r="G76" s="46">
        <f t="shared" si="4"/>
        <v>5.267333522646492E-05</v>
      </c>
    </row>
    <row r="77" spans="1:7" ht="12.75">
      <c r="A77" s="4"/>
      <c r="B77" s="5"/>
      <c r="C77" s="27"/>
      <c r="D77" s="5"/>
      <c r="E77" s="45"/>
      <c r="F77" s="45"/>
      <c r="G77" s="46"/>
    </row>
    <row r="78" spans="3:7" ht="13.5" thickBot="1">
      <c r="C78" s="27"/>
      <c r="D78" s="27"/>
      <c r="E78" s="62"/>
      <c r="F78" s="62"/>
      <c r="G78" s="63"/>
    </row>
    <row r="79" spans="1:7" ht="13.5" thickTop="1">
      <c r="A79" s="11" t="s">
        <v>59</v>
      </c>
      <c r="B79" s="2"/>
      <c r="C79" s="2"/>
      <c r="D79" s="2"/>
      <c r="E79" s="2"/>
      <c r="F79" s="2"/>
      <c r="G79" s="3"/>
    </row>
    <row r="80" spans="1:7" ht="12.75">
      <c r="A80" s="4"/>
      <c r="B80" s="5"/>
      <c r="C80" s="5"/>
      <c r="D80" s="5"/>
      <c r="E80" s="5"/>
      <c r="F80" s="5"/>
      <c r="G80" s="6"/>
    </row>
    <row r="81" spans="1:7" ht="12.75">
      <c r="A81" s="4" t="s">
        <v>46</v>
      </c>
      <c r="B81" s="5" t="s">
        <v>55</v>
      </c>
      <c r="C81" s="5" t="s">
        <v>67</v>
      </c>
      <c r="D81" s="27" t="s">
        <v>60</v>
      </c>
      <c r="E81" s="5" t="s">
        <v>57</v>
      </c>
      <c r="F81" s="5" t="s">
        <v>58</v>
      </c>
      <c r="G81" s="6" t="s">
        <v>48</v>
      </c>
    </row>
    <row r="82" spans="1:7" ht="12.75">
      <c r="A82" s="4">
        <v>14</v>
      </c>
      <c r="B82" s="5">
        <f>A82-10</f>
        <v>4</v>
      </c>
      <c r="C82" s="5">
        <v>9.4</v>
      </c>
      <c r="D82" s="5">
        <f>C82-0.001</f>
        <v>9.399000000000001</v>
      </c>
      <c r="E82" s="45">
        <f aca="true" t="shared" si="5" ref="E82:E92">0.00529*D82+0.00425</f>
        <v>0.053970710000000005</v>
      </c>
      <c r="F82" s="45">
        <f aca="true" t="shared" si="6" ref="F82:F92">E82/$B$10</f>
        <v>0.13159981342465754</v>
      </c>
      <c r="G82" s="46">
        <f aca="true" t="shared" si="7" ref="G82:G92">F82*10^-6/($B$48*$B$50)</f>
        <v>0.0005011126897784989</v>
      </c>
    </row>
    <row r="83" spans="1:7" ht="12.75">
      <c r="A83" s="4">
        <v>20</v>
      </c>
      <c r="B83" s="5">
        <f aca="true" t="shared" si="8" ref="B83:B92">A83-10</f>
        <v>10</v>
      </c>
      <c r="C83" s="5">
        <v>5.6</v>
      </c>
      <c r="D83" s="5">
        <f aca="true" t="shared" si="9" ref="D83:D92">C83-0.001</f>
        <v>5.598999999999999</v>
      </c>
      <c r="E83" s="45">
        <f t="shared" si="5"/>
        <v>0.033868709999999996</v>
      </c>
      <c r="F83" s="45">
        <f t="shared" si="6"/>
        <v>0.08258397780821917</v>
      </c>
      <c r="G83" s="46">
        <f t="shared" si="7"/>
        <v>0.0003144676134041584</v>
      </c>
    </row>
    <row r="84" spans="1:7" ht="12.75">
      <c r="A84" s="4">
        <v>25</v>
      </c>
      <c r="B84" s="5">
        <f t="shared" si="8"/>
        <v>15</v>
      </c>
      <c r="C84" s="5">
        <v>1.75</v>
      </c>
      <c r="D84" s="5">
        <f t="shared" si="9"/>
        <v>1.749</v>
      </c>
      <c r="E84" s="45">
        <f t="shared" si="5"/>
        <v>0.013502210000000002</v>
      </c>
      <c r="F84" s="45">
        <f t="shared" si="6"/>
        <v>0.032923196986301376</v>
      </c>
      <c r="G84" s="46">
        <f t="shared" si="7"/>
        <v>0.0001253666807617344</v>
      </c>
    </row>
    <row r="85" spans="1:7" ht="12.75">
      <c r="A85" s="4">
        <v>30</v>
      </c>
      <c r="B85" s="5">
        <f t="shared" si="8"/>
        <v>20</v>
      </c>
      <c r="C85" s="27">
        <v>1.9</v>
      </c>
      <c r="D85" s="5">
        <f t="shared" si="9"/>
        <v>1.899</v>
      </c>
      <c r="E85" s="45">
        <f t="shared" si="5"/>
        <v>0.014295710000000001</v>
      </c>
      <c r="F85" s="45">
        <f t="shared" si="6"/>
        <v>0.03485803260273973</v>
      </c>
      <c r="G85" s="46">
        <f t="shared" si="7"/>
        <v>0.00013273424956598468</v>
      </c>
    </row>
    <row r="86" spans="1:7" ht="12.75">
      <c r="A86" s="4">
        <v>35</v>
      </c>
      <c r="B86" s="5">
        <f t="shared" si="8"/>
        <v>25</v>
      </c>
      <c r="C86" s="27">
        <v>0.95</v>
      </c>
      <c r="D86" s="5">
        <f t="shared" si="9"/>
        <v>0.949</v>
      </c>
      <c r="E86" s="45">
        <f t="shared" si="5"/>
        <v>0.009270210000000001</v>
      </c>
      <c r="F86" s="45">
        <f t="shared" si="6"/>
        <v>0.02260407369863014</v>
      </c>
      <c r="G86" s="46">
        <f t="shared" si="7"/>
        <v>8.607298047239953E-05</v>
      </c>
    </row>
    <row r="87" spans="1:7" ht="12.75">
      <c r="A87" s="4">
        <v>40</v>
      </c>
      <c r="B87" s="5">
        <f t="shared" si="8"/>
        <v>30</v>
      </c>
      <c r="C87" s="27">
        <v>0.5</v>
      </c>
      <c r="D87" s="5">
        <f t="shared" si="9"/>
        <v>0.499</v>
      </c>
      <c r="E87" s="45">
        <f t="shared" si="5"/>
        <v>0.00688971</v>
      </c>
      <c r="F87" s="45">
        <f t="shared" si="6"/>
        <v>0.016799566849315068</v>
      </c>
      <c r="G87" s="46">
        <f t="shared" si="7"/>
        <v>6.397027405964869E-05</v>
      </c>
    </row>
    <row r="88" spans="1:7" ht="12.75">
      <c r="A88" s="4">
        <v>45</v>
      </c>
      <c r="B88" s="5">
        <f t="shared" si="8"/>
        <v>35</v>
      </c>
      <c r="C88" s="27">
        <v>0.33</v>
      </c>
      <c r="D88" s="5">
        <f t="shared" si="9"/>
        <v>0.329</v>
      </c>
      <c r="E88" s="45">
        <f t="shared" si="5"/>
        <v>0.005990410000000001</v>
      </c>
      <c r="F88" s="45">
        <f t="shared" si="6"/>
        <v>0.014606753150684933</v>
      </c>
      <c r="G88" s="46">
        <f t="shared" si="7"/>
        <v>5.5620362748165035E-05</v>
      </c>
    </row>
    <row r="89" spans="1:7" ht="12.75">
      <c r="A89" s="4">
        <v>50</v>
      </c>
      <c r="B89" s="5">
        <f t="shared" si="8"/>
        <v>40</v>
      </c>
      <c r="C89" s="27">
        <v>0.17</v>
      </c>
      <c r="D89" s="5">
        <f t="shared" si="9"/>
        <v>0.169</v>
      </c>
      <c r="E89" s="45">
        <f t="shared" si="5"/>
        <v>0.00514401</v>
      </c>
      <c r="F89" s="45">
        <f t="shared" si="6"/>
        <v>0.012542928493150685</v>
      </c>
      <c r="G89" s="46">
        <f t="shared" si="7"/>
        <v>4.776162269029806E-05</v>
      </c>
    </row>
    <row r="90" spans="1:7" ht="12.75">
      <c r="A90" s="64">
        <v>55</v>
      </c>
      <c r="B90" s="27">
        <f t="shared" si="8"/>
        <v>45</v>
      </c>
      <c r="C90" s="27">
        <v>0.13</v>
      </c>
      <c r="D90" s="27">
        <f t="shared" si="9"/>
        <v>0.129</v>
      </c>
      <c r="E90" s="62">
        <f t="shared" si="5"/>
        <v>0.00493241</v>
      </c>
      <c r="F90" s="62">
        <f t="shared" si="6"/>
        <v>0.012026972328767123</v>
      </c>
      <c r="G90" s="63">
        <f t="shared" si="7"/>
        <v>4.5796937675831315E-05</v>
      </c>
    </row>
    <row r="91" spans="1:7" ht="12.75">
      <c r="A91" s="64">
        <v>60</v>
      </c>
      <c r="B91" s="27">
        <f t="shared" si="8"/>
        <v>50</v>
      </c>
      <c r="C91" s="27">
        <v>0.093</v>
      </c>
      <c r="D91" s="27">
        <f t="shared" si="9"/>
        <v>0.092</v>
      </c>
      <c r="E91" s="62">
        <f t="shared" si="5"/>
        <v>0.00473668</v>
      </c>
      <c r="F91" s="62">
        <f t="shared" si="6"/>
        <v>0.01154971287671233</v>
      </c>
      <c r="G91" s="63">
        <f t="shared" si="7"/>
        <v>4.397960403744958E-05</v>
      </c>
    </row>
    <row r="92" spans="1:7" ht="12.75">
      <c r="A92" s="64">
        <v>65</v>
      </c>
      <c r="B92" s="27">
        <f t="shared" si="8"/>
        <v>55</v>
      </c>
      <c r="C92" s="27">
        <v>0.071</v>
      </c>
      <c r="D92" s="27">
        <f t="shared" si="9"/>
        <v>0.06999999999999999</v>
      </c>
      <c r="E92" s="62">
        <f t="shared" si="5"/>
        <v>0.0046203</v>
      </c>
      <c r="F92" s="62">
        <f t="shared" si="6"/>
        <v>0.01126593698630137</v>
      </c>
      <c r="G92" s="63">
        <f t="shared" si="7"/>
        <v>4.2899027279492864E-05</v>
      </c>
    </row>
  </sheetData>
  <sheetProtection/>
  <printOptions gridLines="1"/>
  <pageMargins left="0.75" right="0.75" top="1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9</v>
      </c>
      <c r="E43" s="5">
        <f aca="true" t="shared" si="0" ref="E43:E53">D43-9</f>
        <v>0</v>
      </c>
      <c r="F43" s="5">
        <v>149</v>
      </c>
      <c r="G43" s="5">
        <v>149</v>
      </c>
      <c r="H43" s="45">
        <f aca="true" t="shared" si="1" ref="H43:H53">0.00529*G43+0.00425</f>
        <v>0.79246</v>
      </c>
      <c r="I43" s="45">
        <f aca="true" t="shared" si="2" ref="I43:I53">H43/$B$10</f>
        <v>1.9322997260273973</v>
      </c>
      <c r="J43" s="46">
        <f aca="true" t="shared" si="3" ref="J43:J52">I43*10^-6/($B$47*$B$49)</f>
        <v>0.06985359975372903</v>
      </c>
    </row>
    <row r="44" spans="1:10" ht="12.75">
      <c r="A44" s="15" t="s">
        <v>23</v>
      </c>
      <c r="B44" s="18">
        <f>B40*B40*3.14</f>
        <v>0.2826</v>
      </c>
      <c r="D44" s="4">
        <v>15</v>
      </c>
      <c r="E44" s="5">
        <f t="shared" si="0"/>
        <v>6</v>
      </c>
      <c r="F44" s="5">
        <v>127</v>
      </c>
      <c r="G44" s="5">
        <v>127</v>
      </c>
      <c r="H44" s="45">
        <f t="shared" si="1"/>
        <v>0.67608</v>
      </c>
      <c r="I44" s="45">
        <f t="shared" si="2"/>
        <v>1.6485238356164384</v>
      </c>
      <c r="J44" s="46">
        <f t="shared" si="3"/>
        <v>0.0595949596465451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20</v>
      </c>
      <c r="E45" s="5">
        <f t="shared" si="0"/>
        <v>11</v>
      </c>
      <c r="F45" s="5">
        <v>140</v>
      </c>
      <c r="G45" s="5">
        <v>140</v>
      </c>
      <c r="H45" s="45">
        <f t="shared" si="1"/>
        <v>0.74485</v>
      </c>
      <c r="I45" s="45">
        <f t="shared" si="2"/>
        <v>1.8162095890410959</v>
      </c>
      <c r="J45" s="46">
        <f t="shared" si="3"/>
        <v>0.0656568833462447</v>
      </c>
    </row>
    <row r="46" spans="4:10" ht="13.5" thickBot="1">
      <c r="D46" s="4">
        <v>25</v>
      </c>
      <c r="E46" s="5">
        <f t="shared" si="0"/>
        <v>16</v>
      </c>
      <c r="F46" s="27">
        <v>153</v>
      </c>
      <c r="G46" s="5">
        <v>153</v>
      </c>
      <c r="H46" s="45">
        <f t="shared" si="1"/>
        <v>0.81362</v>
      </c>
      <c r="I46" s="45">
        <f t="shared" si="2"/>
        <v>1.9838953424657535</v>
      </c>
      <c r="J46" s="46">
        <f t="shared" si="3"/>
        <v>0.0717188070459443</v>
      </c>
    </row>
    <row r="47" spans="1:10" ht="13.5" thickBot="1">
      <c r="A47" s="23" t="s">
        <v>12</v>
      </c>
      <c r="B47" s="58">
        <v>0.0395</v>
      </c>
      <c r="C47" t="s">
        <v>5</v>
      </c>
      <c r="D47" s="4">
        <v>30</v>
      </c>
      <c r="E47" s="5">
        <f t="shared" si="0"/>
        <v>21</v>
      </c>
      <c r="F47" s="27">
        <v>138</v>
      </c>
      <c r="G47" s="5">
        <v>138</v>
      </c>
      <c r="H47" s="45">
        <f t="shared" si="1"/>
        <v>0.7342700000000001</v>
      </c>
      <c r="I47" s="45">
        <f t="shared" si="2"/>
        <v>1.790411780821918</v>
      </c>
      <c r="J47" s="46">
        <f t="shared" si="3"/>
        <v>0.06472427970013707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35</v>
      </c>
      <c r="E48" s="5">
        <f t="shared" si="0"/>
        <v>26</v>
      </c>
      <c r="F48" s="27">
        <v>144</v>
      </c>
      <c r="G48" s="5">
        <v>144</v>
      </c>
      <c r="H48" s="45">
        <f t="shared" si="1"/>
        <v>0.7660100000000001</v>
      </c>
      <c r="I48" s="45">
        <f t="shared" si="2"/>
        <v>1.8678052054794523</v>
      </c>
      <c r="J48" s="46">
        <f t="shared" si="3"/>
        <v>0.06752209063845997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40</v>
      </c>
      <c r="E49" s="5">
        <f t="shared" si="0"/>
        <v>31</v>
      </c>
      <c r="F49" s="27">
        <v>131</v>
      </c>
      <c r="G49" s="5">
        <v>131</v>
      </c>
      <c r="H49" s="45">
        <f t="shared" si="1"/>
        <v>0.6972400000000001</v>
      </c>
      <c r="I49" s="45">
        <f t="shared" si="2"/>
        <v>1.7001194520547946</v>
      </c>
      <c r="J49" s="46">
        <f t="shared" si="3"/>
        <v>0.061460166938760365</v>
      </c>
    </row>
    <row r="50" spans="1:10" ht="12.75">
      <c r="A50" s="21" t="s">
        <v>13</v>
      </c>
      <c r="D50" s="4">
        <v>45</v>
      </c>
      <c r="E50" s="5">
        <f t="shared" si="0"/>
        <v>36</v>
      </c>
      <c r="F50" s="27">
        <v>143</v>
      </c>
      <c r="G50" s="5">
        <v>143</v>
      </c>
      <c r="H50" s="45">
        <f t="shared" si="1"/>
        <v>0.7607200000000001</v>
      </c>
      <c r="I50" s="45">
        <f t="shared" si="2"/>
        <v>1.8549063013698632</v>
      </c>
      <c r="J50" s="46">
        <f t="shared" si="3"/>
        <v>0.06705578881540615</v>
      </c>
    </row>
    <row r="51" spans="1:10" ht="13.5" thickBot="1">
      <c r="A51" s="22" t="s">
        <v>16</v>
      </c>
      <c r="B51" s="8">
        <f>B48*10^-6/(B47*B49)</f>
        <v>0.021358210156132228</v>
      </c>
      <c r="D51" s="4">
        <v>50</v>
      </c>
      <c r="E51" s="5">
        <f t="shared" si="0"/>
        <v>41</v>
      </c>
      <c r="F51" s="27">
        <v>137</v>
      </c>
      <c r="G51" s="5">
        <v>137</v>
      </c>
      <c r="H51" s="45">
        <f t="shared" si="1"/>
        <v>0.7289800000000001</v>
      </c>
      <c r="I51" s="45">
        <f t="shared" si="2"/>
        <v>1.777512876712329</v>
      </c>
      <c r="J51" s="46">
        <f t="shared" si="3"/>
        <v>0.06425797787708326</v>
      </c>
    </row>
    <row r="52" spans="4:10" ht="12.75">
      <c r="D52" s="4">
        <v>55</v>
      </c>
      <c r="E52" s="5">
        <f t="shared" si="0"/>
        <v>46</v>
      </c>
      <c r="F52" s="27">
        <v>127</v>
      </c>
      <c r="G52" s="5">
        <v>127</v>
      </c>
      <c r="H52" s="45">
        <f t="shared" si="1"/>
        <v>0.67608</v>
      </c>
      <c r="I52" s="45">
        <f t="shared" si="2"/>
        <v>1.6485238356164384</v>
      </c>
      <c r="J52" s="46">
        <f t="shared" si="3"/>
        <v>0.0595949596465451</v>
      </c>
    </row>
    <row r="53" spans="4:10" ht="12.75">
      <c r="D53" s="4">
        <v>60</v>
      </c>
      <c r="E53" s="5">
        <f t="shared" si="0"/>
        <v>51</v>
      </c>
      <c r="F53" s="27">
        <v>128</v>
      </c>
      <c r="G53" s="5">
        <v>128</v>
      </c>
      <c r="H53" s="45">
        <f t="shared" si="1"/>
        <v>0.68137</v>
      </c>
      <c r="I53" s="45">
        <f t="shared" si="2"/>
        <v>1.6614227397260275</v>
      </c>
      <c r="J53" s="46">
        <f>I53*10^-6/($B$47*$B$49)</f>
        <v>0.06006126146959891</v>
      </c>
    </row>
    <row r="54" ht="13.5" thickBot="1">
      <c r="C54" t="s">
        <v>51</v>
      </c>
    </row>
    <row r="55" spans="4:10" ht="13.5" thickTop="1">
      <c r="D55" s="11" t="s">
        <v>59</v>
      </c>
      <c r="E55" s="2"/>
      <c r="F55" s="2"/>
      <c r="G55" s="2"/>
      <c r="H55" s="2"/>
      <c r="I55" s="2"/>
      <c r="J55" s="3"/>
    </row>
    <row r="56" spans="4:10" ht="12.75">
      <c r="D56" s="4"/>
      <c r="E56" s="5"/>
      <c r="F56" s="5"/>
      <c r="G56" s="5"/>
      <c r="H56" s="5"/>
      <c r="I56" s="5"/>
      <c r="J56" s="6"/>
    </row>
    <row r="57" spans="4:10" ht="12.75">
      <c r="D57" s="4" t="s">
        <v>46</v>
      </c>
      <c r="E57" s="5" t="s">
        <v>55</v>
      </c>
      <c r="F57" s="5" t="s">
        <v>67</v>
      </c>
      <c r="G57" s="27" t="s">
        <v>60</v>
      </c>
      <c r="H57" s="5" t="s">
        <v>57</v>
      </c>
      <c r="I57" s="5" t="s">
        <v>58</v>
      </c>
      <c r="J57" s="6" t="s">
        <v>48</v>
      </c>
    </row>
    <row r="58" spans="4:10" ht="12.75">
      <c r="D58" s="4"/>
      <c r="E58" s="5">
        <f aca="true" t="shared" si="4" ref="E58:E65">D58-9</f>
        <v>-9</v>
      </c>
      <c r="F58" s="5"/>
      <c r="G58" s="5">
        <f aca="true" t="shared" si="5" ref="G58:G65">F58-1</f>
        <v>-1</v>
      </c>
      <c r="H58" s="45">
        <f aca="true" t="shared" si="6" ref="H58:H65">0.00529*G58+0.00425</f>
        <v>-0.0010400000000000001</v>
      </c>
      <c r="I58" s="45">
        <f aca="true" t="shared" si="7" ref="I58:I65">H58/$B$10</f>
        <v>-0.0025358904109589043</v>
      </c>
      <c r="J58" s="46">
        <f aca="true" t="shared" si="8" ref="J58:J65">I58*10^-6/($B$47*$B$49)</f>
        <v>-9.167370434328319E-05</v>
      </c>
    </row>
    <row r="59" spans="4:10" ht="12.75">
      <c r="D59" s="4"/>
      <c r="E59" s="5">
        <f t="shared" si="4"/>
        <v>-9</v>
      </c>
      <c r="F59" s="5"/>
      <c r="G59" s="5">
        <f t="shared" si="5"/>
        <v>-1</v>
      </c>
      <c r="H59" s="45">
        <f t="shared" si="6"/>
        <v>-0.0010400000000000001</v>
      </c>
      <c r="I59" s="45">
        <f t="shared" si="7"/>
        <v>-0.0025358904109589043</v>
      </c>
      <c r="J59" s="46">
        <f t="shared" si="8"/>
        <v>-9.167370434328319E-05</v>
      </c>
    </row>
    <row r="60" spans="4:10" ht="12.75">
      <c r="D60" s="4"/>
      <c r="E60" s="5">
        <f t="shared" si="4"/>
        <v>-9</v>
      </c>
      <c r="F60" s="5"/>
      <c r="G60" s="5">
        <f t="shared" si="5"/>
        <v>-1</v>
      </c>
      <c r="H60" s="45">
        <f t="shared" si="6"/>
        <v>-0.0010400000000000001</v>
      </c>
      <c r="I60" s="45">
        <f t="shared" si="7"/>
        <v>-0.0025358904109589043</v>
      </c>
      <c r="J60" s="46">
        <f t="shared" si="8"/>
        <v>-9.167370434328319E-05</v>
      </c>
    </row>
    <row r="61" spans="4:10" ht="12.75">
      <c r="D61" s="4"/>
      <c r="E61" s="5">
        <f t="shared" si="4"/>
        <v>-9</v>
      </c>
      <c r="F61" s="27"/>
      <c r="G61" s="5">
        <f t="shared" si="5"/>
        <v>-1</v>
      </c>
      <c r="H61" s="45">
        <f t="shared" si="6"/>
        <v>-0.0010400000000000001</v>
      </c>
      <c r="I61" s="45">
        <f t="shared" si="7"/>
        <v>-0.0025358904109589043</v>
      </c>
      <c r="J61" s="46">
        <f t="shared" si="8"/>
        <v>-9.167370434328319E-05</v>
      </c>
    </row>
    <row r="62" spans="4:10" ht="12.75">
      <c r="D62" s="4"/>
      <c r="E62" s="5">
        <f t="shared" si="4"/>
        <v>-9</v>
      </c>
      <c r="F62" s="27"/>
      <c r="G62" s="5">
        <f t="shared" si="5"/>
        <v>-1</v>
      </c>
      <c r="H62" s="45">
        <f t="shared" si="6"/>
        <v>-0.0010400000000000001</v>
      </c>
      <c r="I62" s="45">
        <f t="shared" si="7"/>
        <v>-0.0025358904109589043</v>
      </c>
      <c r="J62" s="46">
        <f t="shared" si="8"/>
        <v>-9.167370434328319E-05</v>
      </c>
    </row>
    <row r="63" spans="4:10" ht="12.75">
      <c r="D63" s="4"/>
      <c r="E63" s="5">
        <f t="shared" si="4"/>
        <v>-9</v>
      </c>
      <c r="F63" s="27"/>
      <c r="G63" s="5">
        <f t="shared" si="5"/>
        <v>-1</v>
      </c>
      <c r="H63" s="45">
        <f t="shared" si="6"/>
        <v>-0.0010400000000000001</v>
      </c>
      <c r="I63" s="45">
        <f t="shared" si="7"/>
        <v>-0.0025358904109589043</v>
      </c>
      <c r="J63" s="46">
        <f t="shared" si="8"/>
        <v>-9.167370434328319E-05</v>
      </c>
    </row>
    <row r="64" spans="4:10" ht="12.75">
      <c r="D64" s="4"/>
      <c r="E64" s="5">
        <f t="shared" si="4"/>
        <v>-9</v>
      </c>
      <c r="F64" s="27"/>
      <c r="G64" s="5">
        <f t="shared" si="5"/>
        <v>-1</v>
      </c>
      <c r="H64" s="45">
        <f t="shared" si="6"/>
        <v>-0.0010400000000000001</v>
      </c>
      <c r="I64" s="45">
        <f t="shared" si="7"/>
        <v>-0.0025358904109589043</v>
      </c>
      <c r="J64" s="46">
        <f t="shared" si="8"/>
        <v>-9.167370434328319E-05</v>
      </c>
    </row>
    <row r="65" spans="4:10" ht="12.75">
      <c r="D65" s="4"/>
      <c r="E65" s="5">
        <f t="shared" si="4"/>
        <v>-9</v>
      </c>
      <c r="F65" s="27"/>
      <c r="G65" s="5">
        <f t="shared" si="5"/>
        <v>-1</v>
      </c>
      <c r="H65" s="45">
        <f t="shared" si="6"/>
        <v>-0.0010400000000000001</v>
      </c>
      <c r="I65" s="45">
        <f t="shared" si="7"/>
        <v>-0.0025358904109589043</v>
      </c>
      <c r="J65" s="46">
        <f t="shared" si="8"/>
        <v>-9.167370434328319E-05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0" zoomScaleNormal="70" zoomScalePageLayoutView="0" workbookViewId="0" topLeftCell="A56">
      <selection activeCell="H57" sqref="H5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29.8515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122</v>
      </c>
      <c r="G43" s="5">
        <f>F43-0.001</f>
        <v>121.999</v>
      </c>
      <c r="H43" s="45">
        <f aca="true" t="shared" si="1" ref="H43:H50">0.00529*G43+0.00425</f>
        <v>0.64962471</v>
      </c>
      <c r="I43" s="45">
        <f aca="true" t="shared" si="2" ref="I43:I50">H43/$B$10</f>
        <v>1.5840164161643835</v>
      </c>
      <c r="J43" s="46">
        <f aca="true" t="shared" si="3" ref="J43:J50">I43*10^-6/($B$47*$B$49)</f>
        <v>0.05999702591680086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114</v>
      </c>
      <c r="G44" s="5">
        <f aca="true" t="shared" si="4" ref="G44:G50">F44-0.001</f>
        <v>113.999</v>
      </c>
      <c r="H44" s="45">
        <f t="shared" si="1"/>
        <v>0.60730471</v>
      </c>
      <c r="I44" s="45">
        <f t="shared" si="2"/>
        <v>1.480825183287671</v>
      </c>
      <c r="J44" s="46">
        <f t="shared" si="3"/>
        <v>0.05608850135221185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100</v>
      </c>
      <c r="G45" s="5">
        <f t="shared" si="4"/>
        <v>99.999</v>
      </c>
      <c r="H45" s="45">
        <f t="shared" si="1"/>
        <v>0.53324471</v>
      </c>
      <c r="I45" s="45">
        <f t="shared" si="2"/>
        <v>1.3002405257534246</v>
      </c>
      <c r="J45" s="46">
        <f t="shared" si="3"/>
        <v>0.04924858336418108</v>
      </c>
    </row>
    <row r="46" spans="4:10" ht="13.5" thickBot="1">
      <c r="D46" s="4">
        <v>40</v>
      </c>
      <c r="E46" s="5">
        <f t="shared" si="0"/>
        <v>31</v>
      </c>
      <c r="F46" s="27">
        <v>74</v>
      </c>
      <c r="G46" s="5">
        <f t="shared" si="4"/>
        <v>73.999</v>
      </c>
      <c r="H46" s="45">
        <f t="shared" si="1"/>
        <v>0.39570470999999996</v>
      </c>
      <c r="I46" s="45">
        <f t="shared" si="2"/>
        <v>0.9648690189041095</v>
      </c>
      <c r="J46" s="46">
        <f t="shared" si="3"/>
        <v>0.03654587852926679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73</v>
      </c>
      <c r="G47" s="5">
        <f t="shared" si="4"/>
        <v>72.999</v>
      </c>
      <c r="H47" s="45">
        <f t="shared" si="1"/>
        <v>0.39041471</v>
      </c>
      <c r="I47" s="45">
        <f t="shared" si="2"/>
        <v>0.9519701147945205</v>
      </c>
      <c r="J47" s="46">
        <f t="shared" si="3"/>
        <v>0.03605731295869317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67.3</v>
      </c>
      <c r="G48" s="5">
        <f t="shared" si="4"/>
        <v>67.29899999999999</v>
      </c>
      <c r="H48" s="45">
        <f t="shared" si="1"/>
        <v>0.36026170999999996</v>
      </c>
      <c r="I48" s="45">
        <f t="shared" si="2"/>
        <v>0.8784463613698629</v>
      </c>
      <c r="J48" s="46">
        <f t="shared" si="3"/>
        <v>0.03327248920642349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62</v>
      </c>
      <c r="G49" s="5">
        <f t="shared" si="4"/>
        <v>61.999</v>
      </c>
      <c r="H49" s="45">
        <f t="shared" si="1"/>
        <v>0.33222471000000003</v>
      </c>
      <c r="I49" s="45">
        <f t="shared" si="2"/>
        <v>0.8100821695890412</v>
      </c>
      <c r="J49" s="46">
        <f t="shared" si="3"/>
        <v>0.030683091682383284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58</v>
      </c>
      <c r="G50" s="5">
        <f t="shared" si="4"/>
        <v>57.999</v>
      </c>
      <c r="H50" s="45">
        <f t="shared" si="1"/>
        <v>0.31106471</v>
      </c>
      <c r="I50" s="45">
        <f t="shared" si="2"/>
        <v>0.758486553150685</v>
      </c>
      <c r="J50" s="46">
        <f t="shared" si="3"/>
        <v>0.028728829400088775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/>
      <c r="E55" s="5">
        <f aca="true" t="shared" si="5" ref="E55:E62">D55-9</f>
        <v>-9</v>
      </c>
      <c r="F55" s="5"/>
      <c r="G55" s="5">
        <f aca="true" t="shared" si="6" ref="G55:G62">F55-1</f>
        <v>-1</v>
      </c>
      <c r="H55" s="45">
        <f aca="true" t="shared" si="7" ref="H55:H62">0.00529*G55+0.00425</f>
        <v>-0.0010400000000000001</v>
      </c>
      <c r="I55" s="45">
        <f aca="true" t="shared" si="8" ref="I55:I62">H55/$B$10</f>
        <v>-0.0025358904109589043</v>
      </c>
      <c r="J55" s="46">
        <f aca="true" t="shared" si="9" ref="J55:J62">I55*10^-6/($B$47*$B$49)</f>
        <v>-9.605069818460707E-05</v>
      </c>
    </row>
    <row r="56" spans="4:10" ht="12.75">
      <c r="D56" s="4"/>
      <c r="E56" s="5">
        <f t="shared" si="5"/>
        <v>-9</v>
      </c>
      <c r="F56" s="5"/>
      <c r="G56" s="5">
        <f t="shared" si="6"/>
        <v>-1</v>
      </c>
      <c r="H56" s="45">
        <f t="shared" si="7"/>
        <v>-0.0010400000000000001</v>
      </c>
      <c r="I56" s="45">
        <f t="shared" si="8"/>
        <v>-0.0025358904109589043</v>
      </c>
      <c r="J56" s="46">
        <f t="shared" si="9"/>
        <v>-9.605069818460707E-05</v>
      </c>
    </row>
    <row r="57" spans="4:10" ht="12.75">
      <c r="D57" s="4"/>
      <c r="E57" s="5">
        <f t="shared" si="5"/>
        <v>-9</v>
      </c>
      <c r="F57" s="5"/>
      <c r="G57" s="5">
        <f t="shared" si="6"/>
        <v>-1</v>
      </c>
      <c r="H57" s="45">
        <f t="shared" si="7"/>
        <v>-0.0010400000000000001</v>
      </c>
      <c r="I57" s="45">
        <f t="shared" si="8"/>
        <v>-0.0025358904109589043</v>
      </c>
      <c r="J57" s="46">
        <f t="shared" si="9"/>
        <v>-9.605069818460707E-05</v>
      </c>
    </row>
    <row r="58" spans="4:10" ht="12.75">
      <c r="D58" s="4"/>
      <c r="E58" s="5">
        <f t="shared" si="5"/>
        <v>-9</v>
      </c>
      <c r="F58" s="27"/>
      <c r="G58" s="5">
        <f t="shared" si="6"/>
        <v>-1</v>
      </c>
      <c r="H58" s="45">
        <f t="shared" si="7"/>
        <v>-0.0010400000000000001</v>
      </c>
      <c r="I58" s="45">
        <f t="shared" si="8"/>
        <v>-0.0025358904109589043</v>
      </c>
      <c r="J58" s="46">
        <f t="shared" si="9"/>
        <v>-9.605069818460707E-05</v>
      </c>
    </row>
    <row r="59" spans="4:10" ht="12.75">
      <c r="D59" s="4"/>
      <c r="E59" s="5">
        <f t="shared" si="5"/>
        <v>-9</v>
      </c>
      <c r="F59" s="27"/>
      <c r="G59" s="5">
        <f t="shared" si="6"/>
        <v>-1</v>
      </c>
      <c r="H59" s="45">
        <f t="shared" si="7"/>
        <v>-0.0010400000000000001</v>
      </c>
      <c r="I59" s="45">
        <f t="shared" si="8"/>
        <v>-0.0025358904109589043</v>
      </c>
      <c r="J59" s="46">
        <f t="shared" si="9"/>
        <v>-9.605069818460707E-05</v>
      </c>
    </row>
    <row r="60" spans="4:10" ht="12.75">
      <c r="D60" s="4"/>
      <c r="E60" s="5">
        <f t="shared" si="5"/>
        <v>-9</v>
      </c>
      <c r="F60" s="27"/>
      <c r="G60" s="5">
        <f t="shared" si="6"/>
        <v>-1</v>
      </c>
      <c r="H60" s="45">
        <f t="shared" si="7"/>
        <v>-0.0010400000000000001</v>
      </c>
      <c r="I60" s="45">
        <f t="shared" si="8"/>
        <v>-0.0025358904109589043</v>
      </c>
      <c r="J60" s="46">
        <f t="shared" si="9"/>
        <v>-9.605069818460707E-05</v>
      </c>
    </row>
    <row r="61" spans="4:10" ht="12.75">
      <c r="D61" s="4"/>
      <c r="E61" s="5">
        <f t="shared" si="5"/>
        <v>-9</v>
      </c>
      <c r="F61" s="27"/>
      <c r="G61" s="5">
        <f t="shared" si="6"/>
        <v>-1</v>
      </c>
      <c r="H61" s="45">
        <f t="shared" si="7"/>
        <v>-0.0010400000000000001</v>
      </c>
      <c r="I61" s="45">
        <f t="shared" si="8"/>
        <v>-0.0025358904109589043</v>
      </c>
      <c r="J61" s="46">
        <f t="shared" si="9"/>
        <v>-9.605069818460707E-05</v>
      </c>
    </row>
    <row r="62" spans="4:10" ht="12.75">
      <c r="D62" s="4"/>
      <c r="E62" s="5">
        <f t="shared" si="5"/>
        <v>-9</v>
      </c>
      <c r="F62" s="27"/>
      <c r="G62" s="5">
        <f t="shared" si="6"/>
        <v>-1</v>
      </c>
      <c r="H62" s="45">
        <f t="shared" si="7"/>
        <v>-0.0010400000000000001</v>
      </c>
      <c r="I62" s="45">
        <f t="shared" si="8"/>
        <v>-0.0025358904109589043</v>
      </c>
      <c r="J62" s="46">
        <f t="shared" si="9"/>
        <v>-9.605069818460707E-05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9" sqref="I9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65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5" ht="30">
      <c r="A30" s="4">
        <v>9.1</v>
      </c>
      <c r="B30" s="27">
        <v>16.4</v>
      </c>
      <c r="C30" s="37">
        <f>B30*$E$7</f>
        <v>0.05248</v>
      </c>
      <c r="E30" s="65" t="s">
        <v>78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5</v>
      </c>
      <c r="G43" s="5">
        <f>F43-0.001</f>
        <v>4.999</v>
      </c>
      <c r="H43" s="45">
        <f aca="true" t="shared" si="1" ref="H43:H50">0.00529*G43+0.00425</f>
        <v>0.03069471</v>
      </c>
      <c r="I43" s="45">
        <f aca="true" t="shared" si="2" ref="I43:I50">H43/$B$10</f>
        <v>0.07484463534246576</v>
      </c>
      <c r="J43" s="46">
        <f aca="true" t="shared" si="3" ref="J43:J50">I43*10^-6/($B$47*$B$49)</f>
        <v>0.00035388742324564225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3.3</v>
      </c>
      <c r="G44" s="5">
        <f aca="true" t="shared" si="4" ref="G44:G50">F44-0.001</f>
        <v>3.299</v>
      </c>
      <c r="H44" s="45">
        <f t="shared" si="1"/>
        <v>0.021701710000000003</v>
      </c>
      <c r="I44" s="45">
        <f t="shared" si="2"/>
        <v>0.05291649835616439</v>
      </c>
      <c r="J44" s="46">
        <f t="shared" si="3"/>
        <v>0.0002502047496758949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3.6</v>
      </c>
      <c r="G45" s="5">
        <f t="shared" si="4"/>
        <v>3.599</v>
      </c>
      <c r="H45" s="45">
        <f t="shared" si="1"/>
        <v>0.023288710000000004</v>
      </c>
      <c r="I45" s="45">
        <f t="shared" si="2"/>
        <v>0.056786169589041105</v>
      </c>
      <c r="J45" s="46">
        <f t="shared" si="3"/>
        <v>0.00026850169207055623</v>
      </c>
    </row>
    <row r="46" spans="4:10" ht="13.5" thickBot="1">
      <c r="D46" s="4">
        <v>40</v>
      </c>
      <c r="E46" s="5">
        <f t="shared" si="0"/>
        <v>31</v>
      </c>
      <c r="F46" s="27">
        <v>1.68</v>
      </c>
      <c r="G46" s="5">
        <f t="shared" si="4"/>
        <v>1.679</v>
      </c>
      <c r="H46" s="45">
        <f t="shared" si="1"/>
        <v>0.013131910000000002</v>
      </c>
      <c r="I46" s="45">
        <f t="shared" si="2"/>
        <v>0.03202027369863014</v>
      </c>
      <c r="J46" s="46">
        <f t="shared" si="3"/>
        <v>0.00015140126074472384</v>
      </c>
    </row>
    <row r="47" spans="1:10" ht="13.5" thickBot="1">
      <c r="A47" s="23" t="s">
        <v>12</v>
      </c>
      <c r="B47" s="58">
        <v>0.302</v>
      </c>
      <c r="C47" t="s">
        <v>5</v>
      </c>
      <c r="D47" s="4">
        <v>45</v>
      </c>
      <c r="E47" s="5">
        <f t="shared" si="0"/>
        <v>36</v>
      </c>
      <c r="F47" s="27">
        <v>1.66</v>
      </c>
      <c r="G47" s="5">
        <f t="shared" si="4"/>
        <v>1.659</v>
      </c>
      <c r="H47" s="45">
        <f t="shared" si="1"/>
        <v>0.01302611</v>
      </c>
      <c r="I47" s="45">
        <f t="shared" si="2"/>
        <v>0.031762295616438355</v>
      </c>
      <c r="J47" s="46">
        <f t="shared" si="3"/>
        <v>0.00015018146458507973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1.68</v>
      </c>
      <c r="G48" s="5">
        <f t="shared" si="4"/>
        <v>1.679</v>
      </c>
      <c r="H48" s="45">
        <f t="shared" si="1"/>
        <v>0.013131910000000002</v>
      </c>
      <c r="I48" s="45">
        <f t="shared" si="2"/>
        <v>0.03202027369863014</v>
      </c>
      <c r="J48" s="46">
        <f t="shared" si="3"/>
        <v>0.00015140126074472384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1.03</v>
      </c>
      <c r="G49" s="5">
        <f t="shared" si="4"/>
        <v>1.0290000000000001</v>
      </c>
      <c r="H49" s="45">
        <f t="shared" si="1"/>
        <v>0.009693410000000001</v>
      </c>
      <c r="I49" s="45">
        <f t="shared" si="2"/>
        <v>0.023635986027397263</v>
      </c>
      <c r="J49" s="46">
        <f t="shared" si="3"/>
        <v>0.00011175788555629101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0.63</v>
      </c>
      <c r="G50" s="5">
        <f t="shared" si="4"/>
        <v>0.629</v>
      </c>
      <c r="H50" s="45">
        <f t="shared" si="1"/>
        <v>0.007577410000000001</v>
      </c>
      <c r="I50" s="45">
        <f t="shared" si="2"/>
        <v>0.018476424383561646</v>
      </c>
      <c r="J50" s="46">
        <f t="shared" si="3"/>
        <v>8.736196236340928E-05</v>
      </c>
    </row>
    <row r="51" spans="1:2" ht="13.5" thickBot="1">
      <c r="A51" s="22" t="s">
        <v>16</v>
      </c>
      <c r="B51" s="8">
        <f>B48*10^-6/(B47*B49)</f>
        <v>0.0027935407323417985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4</v>
      </c>
      <c r="G55" s="5">
        <f>F55-0.001</f>
        <v>3.999</v>
      </c>
      <c r="H55" s="45">
        <f aca="true" t="shared" si="6" ref="H55:H62">0.00529*G55+0.00425</f>
        <v>0.025404710000000004</v>
      </c>
      <c r="I55" s="45">
        <f aca="true" t="shared" si="7" ref="I55:I62">H55/$B$10</f>
        <v>0.06194573123287672</v>
      </c>
      <c r="J55" s="46">
        <f aca="true" t="shared" si="8" ref="J55:J62">I55*10^-6/($B$47*$B$49)</f>
        <v>0.000292897615263438</v>
      </c>
    </row>
    <row r="56" spans="4:10" ht="12.75">
      <c r="D56" s="4">
        <v>30</v>
      </c>
      <c r="E56" s="5">
        <f t="shared" si="5"/>
        <v>21</v>
      </c>
      <c r="F56" s="5">
        <v>2.25</v>
      </c>
      <c r="G56" s="5">
        <f aca="true" t="shared" si="9" ref="G56:G62">F56-0.001</f>
        <v>2.249</v>
      </c>
      <c r="H56" s="45">
        <f t="shared" si="6"/>
        <v>0.016147210000000002</v>
      </c>
      <c r="I56" s="45">
        <f t="shared" si="7"/>
        <v>0.03937264904109589</v>
      </c>
      <c r="J56" s="46">
        <f t="shared" si="8"/>
        <v>0.0001861654512945803</v>
      </c>
    </row>
    <row r="57" spans="4:10" ht="12.75">
      <c r="D57" s="4">
        <v>35</v>
      </c>
      <c r="E57" s="5">
        <f t="shared" si="5"/>
        <v>26</v>
      </c>
      <c r="F57" s="5">
        <v>1.9</v>
      </c>
      <c r="G57" s="5">
        <f t="shared" si="9"/>
        <v>1.899</v>
      </c>
      <c r="H57" s="45">
        <f t="shared" si="6"/>
        <v>0.014295710000000001</v>
      </c>
      <c r="I57" s="45">
        <f t="shared" si="7"/>
        <v>0.03485803260273973</v>
      </c>
      <c r="J57" s="46">
        <f t="shared" si="8"/>
        <v>0.00016481901850080882</v>
      </c>
    </row>
    <row r="58" spans="4:10" ht="12.75">
      <c r="D58" s="4">
        <v>40</v>
      </c>
      <c r="E58" s="5">
        <f t="shared" si="5"/>
        <v>31</v>
      </c>
      <c r="F58" s="27">
        <v>1.22</v>
      </c>
      <c r="G58" s="5">
        <f t="shared" si="9"/>
        <v>1.219</v>
      </c>
      <c r="H58" s="45">
        <f t="shared" si="6"/>
        <v>0.010698510000000001</v>
      </c>
      <c r="I58" s="45">
        <f t="shared" si="7"/>
        <v>0.02608677780821918</v>
      </c>
      <c r="J58" s="46">
        <f t="shared" si="8"/>
        <v>0.00012334594907290985</v>
      </c>
    </row>
    <row r="59" spans="4:10" ht="12.75">
      <c r="D59" s="4">
        <v>45</v>
      </c>
      <c r="E59" s="5">
        <f t="shared" si="5"/>
        <v>36</v>
      </c>
      <c r="F59" s="27">
        <v>0.79</v>
      </c>
      <c r="G59" s="5">
        <f t="shared" si="9"/>
        <v>0.789</v>
      </c>
      <c r="H59" s="45">
        <f t="shared" si="6"/>
        <v>0.00842381</v>
      </c>
      <c r="I59" s="45">
        <f t="shared" si="7"/>
        <v>0.02054024904109589</v>
      </c>
      <c r="J59" s="46">
        <f t="shared" si="8"/>
        <v>9.712033164056197E-05</v>
      </c>
    </row>
    <row r="60" spans="4:10" ht="12.75">
      <c r="D60" s="4">
        <v>50</v>
      </c>
      <c r="E60" s="5">
        <f t="shared" si="5"/>
        <v>41</v>
      </c>
      <c r="F60" s="27">
        <v>0.63</v>
      </c>
      <c r="G60" s="5">
        <f t="shared" si="9"/>
        <v>0.629</v>
      </c>
      <c r="H60" s="45">
        <f t="shared" si="6"/>
        <v>0.007577410000000001</v>
      </c>
      <c r="I60" s="45">
        <f t="shared" si="7"/>
        <v>0.018476424383561646</v>
      </c>
      <c r="J60" s="46">
        <f t="shared" si="8"/>
        <v>8.736196236340928E-05</v>
      </c>
    </row>
    <row r="61" spans="4:10" ht="12.75">
      <c r="D61" s="4">
        <v>55</v>
      </c>
      <c r="E61" s="5">
        <f t="shared" si="5"/>
        <v>46</v>
      </c>
      <c r="F61" s="27">
        <v>0.38</v>
      </c>
      <c r="G61" s="5">
        <f t="shared" si="9"/>
        <v>0.379</v>
      </c>
      <c r="H61" s="45">
        <f t="shared" si="6"/>
        <v>0.006254910000000001</v>
      </c>
      <c r="I61" s="45">
        <f t="shared" si="7"/>
        <v>0.015251698356164385</v>
      </c>
      <c r="J61" s="46">
        <f t="shared" si="8"/>
        <v>7.211451036785819E-05</v>
      </c>
    </row>
    <row r="62" spans="4:10" ht="12.75">
      <c r="D62" s="4">
        <v>60</v>
      </c>
      <c r="E62" s="5">
        <f t="shared" si="5"/>
        <v>51</v>
      </c>
      <c r="F62" s="27">
        <v>0.25</v>
      </c>
      <c r="G62" s="5">
        <f t="shared" si="9"/>
        <v>0.249</v>
      </c>
      <c r="H62" s="45">
        <f t="shared" si="6"/>
        <v>0.00556721</v>
      </c>
      <c r="I62" s="45">
        <f t="shared" si="7"/>
        <v>0.01357484082191781</v>
      </c>
      <c r="J62" s="46">
        <f t="shared" si="8"/>
        <v>6.418583533017163E-05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55" sqref="I5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111</v>
      </c>
      <c r="G43" s="5">
        <f>F43-0.001</f>
        <v>110.999</v>
      </c>
      <c r="H43" s="45">
        <f aca="true" t="shared" si="1" ref="H43:H50">0.00529*G43+0.00425</f>
        <v>0.59143471</v>
      </c>
      <c r="I43" s="45">
        <f aca="true" t="shared" si="2" ref="I43:I50">H43/$B$10</f>
        <v>1.4421284709589042</v>
      </c>
      <c r="J43" s="46">
        <f aca="true" t="shared" si="3" ref="J43:J50">I43*10^-6/($B$47*$B$49)</f>
        <v>0.05462280464049097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102.1</v>
      </c>
      <c r="G44" s="5">
        <f aca="true" t="shared" si="4" ref="G44:G50">F44-0.001</f>
        <v>102.09899999999999</v>
      </c>
      <c r="H44" s="45">
        <f t="shared" si="1"/>
        <v>0.54435371</v>
      </c>
      <c r="I44" s="45">
        <f t="shared" si="2"/>
        <v>1.3273282243835616</v>
      </c>
      <c r="J44" s="46">
        <f t="shared" si="3"/>
        <v>0.0502745710623857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80.2</v>
      </c>
      <c r="G45" s="5">
        <f t="shared" si="4"/>
        <v>80.199</v>
      </c>
      <c r="H45" s="45">
        <f t="shared" si="1"/>
        <v>0.42850271</v>
      </c>
      <c r="I45" s="45">
        <f t="shared" si="2"/>
        <v>1.0448422243835616</v>
      </c>
      <c r="J45" s="46">
        <f t="shared" si="3"/>
        <v>0.039574985066823276</v>
      </c>
    </row>
    <row r="46" spans="4:10" ht="13.5" thickBot="1">
      <c r="D46" s="4">
        <v>40</v>
      </c>
      <c r="E46" s="5">
        <f t="shared" si="0"/>
        <v>31</v>
      </c>
      <c r="F46" s="27">
        <v>78</v>
      </c>
      <c r="G46" s="5">
        <f t="shared" si="4"/>
        <v>77.999</v>
      </c>
      <c r="H46" s="45">
        <f t="shared" si="1"/>
        <v>0.41686470999999997</v>
      </c>
      <c r="I46" s="45">
        <f t="shared" si="2"/>
        <v>1.0164646353424658</v>
      </c>
      <c r="J46" s="46">
        <f t="shared" si="3"/>
        <v>0.0385001408115613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54.2</v>
      </c>
      <c r="G47" s="5">
        <f t="shared" si="4"/>
        <v>54.199000000000005</v>
      </c>
      <c r="H47" s="45">
        <f t="shared" si="1"/>
        <v>0.29096271</v>
      </c>
      <c r="I47" s="45">
        <f t="shared" si="2"/>
        <v>0.7094707175342466</v>
      </c>
      <c r="J47" s="46">
        <f t="shared" si="3"/>
        <v>0.026872280231908994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45.7</v>
      </c>
      <c r="G48" s="5">
        <f t="shared" si="4"/>
        <v>45.699000000000005</v>
      </c>
      <c r="H48" s="45">
        <f t="shared" si="1"/>
        <v>0.24599771000000006</v>
      </c>
      <c r="I48" s="45">
        <f t="shared" si="2"/>
        <v>0.5998300326027399</v>
      </c>
      <c r="J48" s="46">
        <f t="shared" si="3"/>
        <v>0.022719472882033177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36.8</v>
      </c>
      <c r="G49" s="5">
        <f t="shared" si="4"/>
        <v>36.799</v>
      </c>
      <c r="H49" s="45">
        <f t="shared" si="1"/>
        <v>0.19891671000000002</v>
      </c>
      <c r="I49" s="45">
        <f t="shared" si="2"/>
        <v>0.4850297860273973</v>
      </c>
      <c r="J49" s="46">
        <f t="shared" si="3"/>
        <v>0.018371239303927898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31</v>
      </c>
      <c r="G50" s="5">
        <f t="shared" si="4"/>
        <v>30.999</v>
      </c>
      <c r="H50" s="45">
        <f t="shared" si="1"/>
        <v>0.16823471</v>
      </c>
      <c r="I50" s="45">
        <f t="shared" si="2"/>
        <v>0.4102161421917808</v>
      </c>
      <c r="J50" s="46">
        <f t="shared" si="3"/>
        <v>0.015537558994600863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78</v>
      </c>
      <c r="G55" s="5">
        <f>F55-0.001</f>
        <v>77.999</v>
      </c>
      <c r="H55" s="45">
        <f aca="true" t="shared" si="6" ref="H55:H62">0.00529*G55+0.00425</f>
        <v>0.41686470999999997</v>
      </c>
      <c r="I55" s="45">
        <f aca="true" t="shared" si="7" ref="I55:I62">H55/$B$10</f>
        <v>1.0164646353424658</v>
      </c>
      <c r="J55" s="46">
        <f aca="true" t="shared" si="8" ref="J55:J62">I55*10^-6/($B$47*$B$49)</f>
        <v>0.0385001408115613</v>
      </c>
    </row>
    <row r="56" spans="4:10" ht="12.75">
      <c r="D56" s="4">
        <v>30</v>
      </c>
      <c r="E56" s="5">
        <f t="shared" si="5"/>
        <v>21</v>
      </c>
      <c r="F56" s="5">
        <v>71</v>
      </c>
      <c r="G56" s="5">
        <f aca="true" t="shared" si="9" ref="G56:G62">F56-0.001</f>
        <v>70.999</v>
      </c>
      <c r="H56" s="45">
        <f t="shared" si="6"/>
        <v>0.37983470999999996</v>
      </c>
      <c r="I56" s="45">
        <f t="shared" si="7"/>
        <v>0.9261723065753423</v>
      </c>
      <c r="J56" s="46">
        <f t="shared" si="8"/>
        <v>0.03508018181754591</v>
      </c>
    </row>
    <row r="57" spans="4:10" ht="12.75">
      <c r="D57" s="4">
        <v>35</v>
      </c>
      <c r="E57" s="5">
        <f t="shared" si="5"/>
        <v>26</v>
      </c>
      <c r="F57" s="5">
        <v>59</v>
      </c>
      <c r="G57" s="5">
        <f t="shared" si="9"/>
        <v>58.999</v>
      </c>
      <c r="H57" s="45">
        <f t="shared" si="6"/>
        <v>0.31635471000000004</v>
      </c>
      <c r="I57" s="45">
        <f t="shared" si="7"/>
        <v>0.7713854572602741</v>
      </c>
      <c r="J57" s="46">
        <f t="shared" si="8"/>
        <v>0.029217394970662405</v>
      </c>
    </row>
    <row r="58" spans="4:10" ht="12.75">
      <c r="D58" s="4">
        <v>40</v>
      </c>
      <c r="E58" s="5">
        <f t="shared" si="5"/>
        <v>31</v>
      </c>
      <c r="F58" s="27">
        <v>49</v>
      </c>
      <c r="G58" s="5">
        <f t="shared" si="9"/>
        <v>48.999</v>
      </c>
      <c r="H58" s="45">
        <f t="shared" si="6"/>
        <v>0.26345471000000004</v>
      </c>
      <c r="I58" s="45">
        <f t="shared" si="7"/>
        <v>0.6423964161643837</v>
      </c>
      <c r="J58" s="46">
        <f t="shared" si="8"/>
        <v>0.02433173926492614</v>
      </c>
    </row>
    <row r="59" spans="4:10" ht="12.75">
      <c r="D59" s="4">
        <v>45</v>
      </c>
      <c r="E59" s="5">
        <f t="shared" si="5"/>
        <v>36</v>
      </c>
      <c r="F59" s="27">
        <v>40</v>
      </c>
      <c r="G59" s="5">
        <f t="shared" si="9"/>
        <v>39.999</v>
      </c>
      <c r="H59" s="45">
        <f t="shared" si="6"/>
        <v>0.21584471000000002</v>
      </c>
      <c r="I59" s="45">
        <f t="shared" si="7"/>
        <v>0.5263062791780823</v>
      </c>
      <c r="J59" s="46">
        <f t="shared" si="8"/>
        <v>0.019934649129763504</v>
      </c>
    </row>
    <row r="60" spans="4:10" ht="12.75">
      <c r="D60" s="4">
        <v>50</v>
      </c>
      <c r="E60" s="5">
        <f t="shared" si="5"/>
        <v>41</v>
      </c>
      <c r="F60" s="27">
        <v>34</v>
      </c>
      <c r="G60" s="5">
        <f t="shared" si="9"/>
        <v>33.999</v>
      </c>
      <c r="H60" s="45">
        <f t="shared" si="6"/>
        <v>0.18410471000000003</v>
      </c>
      <c r="I60" s="45">
        <f t="shared" si="7"/>
        <v>0.448912854520548</v>
      </c>
      <c r="J60" s="46">
        <f t="shared" si="8"/>
        <v>0.017003255706321746</v>
      </c>
    </row>
    <row r="61" spans="4:10" ht="12.75">
      <c r="D61" s="4">
        <v>55</v>
      </c>
      <c r="E61" s="5">
        <f t="shared" si="5"/>
        <v>46</v>
      </c>
      <c r="F61" s="27">
        <v>29.5</v>
      </c>
      <c r="G61" s="5">
        <f t="shared" si="9"/>
        <v>29.499</v>
      </c>
      <c r="H61" s="45">
        <f t="shared" si="6"/>
        <v>0.16029971</v>
      </c>
      <c r="I61" s="45">
        <f t="shared" si="7"/>
        <v>0.3908677860273973</v>
      </c>
      <c r="J61" s="46">
        <f t="shared" si="8"/>
        <v>0.014804710638740426</v>
      </c>
    </row>
    <row r="62" spans="4:10" ht="12.75">
      <c r="D62" s="4">
        <v>60</v>
      </c>
      <c r="E62" s="5">
        <f t="shared" si="5"/>
        <v>51</v>
      </c>
      <c r="F62" s="27">
        <v>26.6</v>
      </c>
      <c r="G62" s="5">
        <f t="shared" si="9"/>
        <v>26.599</v>
      </c>
      <c r="H62" s="45">
        <f t="shared" si="6"/>
        <v>0.14495871000000002</v>
      </c>
      <c r="I62" s="45">
        <f t="shared" si="7"/>
        <v>0.3534609641095891</v>
      </c>
      <c r="J62" s="46">
        <f t="shared" si="8"/>
        <v>0.013387870484076908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D71" sqref="D7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6" ht="13.5" thickBot="1">
      <c r="A1" s="10" t="s">
        <v>0</v>
      </c>
      <c r="D1" t="s">
        <v>61</v>
      </c>
      <c r="F1" s="40" t="s">
        <v>62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63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8" t="s">
        <v>64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E23" s="8"/>
    </row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127</v>
      </c>
      <c r="G43" s="5">
        <f>F43-0.001</f>
        <v>126.999</v>
      </c>
      <c r="H43" s="45">
        <f aca="true" t="shared" si="1" ref="H43:H50">0.00529*G43+0.00425</f>
        <v>0.67607471</v>
      </c>
      <c r="I43" s="45">
        <f aca="true" t="shared" si="2" ref="I43:I50">H43/$B$10</f>
        <v>1.6485109367123287</v>
      </c>
      <c r="J43" s="46">
        <f aca="true" t="shared" si="3" ref="J43:J50">I43*10^-6/($B$47*$B$49)</f>
        <v>0.06243985376966899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82</v>
      </c>
      <c r="G44" s="5">
        <f aca="true" t="shared" si="4" ref="G44:G50">F44-0.001</f>
        <v>81.999</v>
      </c>
      <c r="H44" s="45">
        <f t="shared" si="1"/>
        <v>0.43802471</v>
      </c>
      <c r="I44" s="45">
        <f t="shared" si="2"/>
        <v>1.068060251780822</v>
      </c>
      <c r="J44" s="46">
        <f t="shared" si="3"/>
        <v>0.04045440309385581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79</v>
      </c>
      <c r="G45" s="5">
        <f t="shared" si="4"/>
        <v>78.999</v>
      </c>
      <c r="H45" s="45">
        <f t="shared" si="1"/>
        <v>0.42215471</v>
      </c>
      <c r="I45" s="45">
        <f t="shared" si="2"/>
        <v>1.0293635394520548</v>
      </c>
      <c r="J45" s="46">
        <f t="shared" si="3"/>
        <v>0.038988706382134926</v>
      </c>
    </row>
    <row r="46" spans="4:10" ht="13.5" thickBot="1">
      <c r="D46" s="4">
        <v>40</v>
      </c>
      <c r="E46" s="5">
        <f t="shared" si="0"/>
        <v>31</v>
      </c>
      <c r="F46" s="27">
        <v>47</v>
      </c>
      <c r="G46" s="5">
        <f t="shared" si="4"/>
        <v>46.999</v>
      </c>
      <c r="H46" s="45">
        <f t="shared" si="1"/>
        <v>0.25287471</v>
      </c>
      <c r="I46" s="45">
        <f t="shared" si="2"/>
        <v>0.6165986079452055</v>
      </c>
      <c r="J46" s="46">
        <f t="shared" si="3"/>
        <v>0.023354608123778882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46.3</v>
      </c>
      <c r="G47" s="5">
        <f t="shared" si="4"/>
        <v>46.299</v>
      </c>
      <c r="H47" s="45">
        <f t="shared" si="1"/>
        <v>0.24917171000000002</v>
      </c>
      <c r="I47" s="45">
        <f t="shared" si="2"/>
        <v>0.6075693750684932</v>
      </c>
      <c r="J47" s="46">
        <f t="shared" si="3"/>
        <v>0.02301261222437735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35</v>
      </c>
      <c r="G48" s="5">
        <f t="shared" si="4"/>
        <v>34.999</v>
      </c>
      <c r="H48" s="45">
        <f t="shared" si="1"/>
        <v>0.18939471000000002</v>
      </c>
      <c r="I48" s="45">
        <f t="shared" si="2"/>
        <v>0.461811758630137</v>
      </c>
      <c r="J48" s="46">
        <f t="shared" si="3"/>
        <v>0.01749182127689537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26.5</v>
      </c>
      <c r="G49" s="5">
        <f t="shared" si="4"/>
        <v>26.499</v>
      </c>
      <c r="H49" s="45">
        <f t="shared" si="1"/>
        <v>0.14442971000000002</v>
      </c>
      <c r="I49" s="45">
        <f t="shared" si="2"/>
        <v>0.35217107369863015</v>
      </c>
      <c r="J49" s="46">
        <f t="shared" si="3"/>
        <v>0.013339013927019545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23</v>
      </c>
      <c r="G50" s="5">
        <f t="shared" si="4"/>
        <v>22.999</v>
      </c>
      <c r="H50" s="45">
        <f t="shared" si="1"/>
        <v>0.12591471</v>
      </c>
      <c r="I50" s="45">
        <f t="shared" si="2"/>
        <v>0.30702490931506854</v>
      </c>
      <c r="J50" s="46">
        <f t="shared" si="3"/>
        <v>0.011629034430011854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81</v>
      </c>
      <c r="G55" s="5">
        <f>F55-0.001</f>
        <v>80.999</v>
      </c>
      <c r="H55" s="45">
        <f aca="true" t="shared" si="6" ref="H55:H62">0.00529*G55+0.00425</f>
        <v>0.43273470999999997</v>
      </c>
      <c r="I55" s="45">
        <f aca="true" t="shared" si="7" ref="I55:I62">H55/$B$10</f>
        <v>1.0551613476712327</v>
      </c>
      <c r="J55" s="46">
        <f aca="true" t="shared" si="8" ref="J55:J62">I55*10^-6/($B$47*$B$49)</f>
        <v>0.03996583752328217</v>
      </c>
    </row>
    <row r="56" spans="4:10" ht="12.75">
      <c r="D56" s="4">
        <v>30</v>
      </c>
      <c r="E56" s="5">
        <f t="shared" si="5"/>
        <v>21</v>
      </c>
      <c r="F56" s="5">
        <v>61.5</v>
      </c>
      <c r="G56" s="5">
        <f aca="true" t="shared" si="9" ref="G56:G62">F56-0.001</f>
        <v>61.499</v>
      </c>
      <c r="H56" s="45">
        <f t="shared" si="6"/>
        <v>0.32957971</v>
      </c>
      <c r="I56" s="45">
        <f t="shared" si="7"/>
        <v>0.8036327175342466</v>
      </c>
      <c r="J56" s="46">
        <f t="shared" si="8"/>
        <v>0.030438808897096468</v>
      </c>
    </row>
    <row r="57" spans="4:10" ht="12.75">
      <c r="D57" s="4">
        <v>35</v>
      </c>
      <c r="E57" s="5">
        <f t="shared" si="5"/>
        <v>26</v>
      </c>
      <c r="F57" s="5">
        <v>51.8</v>
      </c>
      <c r="G57" s="5">
        <f t="shared" si="9"/>
        <v>51.799</v>
      </c>
      <c r="H57" s="45">
        <f t="shared" si="6"/>
        <v>0.27826671</v>
      </c>
      <c r="I57" s="45">
        <f t="shared" si="7"/>
        <v>0.6785133476712328</v>
      </c>
      <c r="J57" s="46">
        <f t="shared" si="8"/>
        <v>0.02569972286253229</v>
      </c>
    </row>
    <row r="58" spans="4:10" ht="12.75">
      <c r="D58" s="4">
        <v>40</v>
      </c>
      <c r="E58" s="5">
        <f t="shared" si="5"/>
        <v>31</v>
      </c>
      <c r="F58" s="27">
        <v>37.2</v>
      </c>
      <c r="G58" s="5">
        <f t="shared" si="9"/>
        <v>37.199000000000005</v>
      </c>
      <c r="H58" s="45">
        <f t="shared" si="6"/>
        <v>0.20103271000000006</v>
      </c>
      <c r="I58" s="45">
        <f t="shared" si="7"/>
        <v>0.490189347671233</v>
      </c>
      <c r="J58" s="46">
        <f t="shared" si="8"/>
        <v>0.01856666553215735</v>
      </c>
    </row>
    <row r="59" spans="4:10" ht="12.75">
      <c r="D59" s="4">
        <v>45</v>
      </c>
      <c r="E59" s="5">
        <f t="shared" si="5"/>
        <v>36</v>
      </c>
      <c r="F59" s="27">
        <v>32.7</v>
      </c>
      <c r="G59" s="5">
        <f t="shared" si="9"/>
        <v>32.699000000000005</v>
      </c>
      <c r="H59" s="45">
        <f t="shared" si="6"/>
        <v>0.17722771000000004</v>
      </c>
      <c r="I59" s="45">
        <f t="shared" si="7"/>
        <v>0.4321442791780823</v>
      </c>
      <c r="J59" s="46">
        <f t="shared" si="8"/>
        <v>0.01636812046457603</v>
      </c>
    </row>
    <row r="60" spans="4:10" ht="12.75">
      <c r="D60" s="4">
        <v>50</v>
      </c>
      <c r="E60" s="5">
        <f t="shared" si="5"/>
        <v>41</v>
      </c>
      <c r="F60" s="27">
        <v>26.2</v>
      </c>
      <c r="G60" s="5">
        <f t="shared" si="9"/>
        <v>26.198999999999998</v>
      </c>
      <c r="H60" s="45">
        <f t="shared" si="6"/>
        <v>0.14284271</v>
      </c>
      <c r="I60" s="45">
        <f t="shared" si="7"/>
        <v>0.3483014024657535</v>
      </c>
      <c r="J60" s="46">
        <f t="shared" si="8"/>
        <v>0.013192444255847459</v>
      </c>
    </row>
    <row r="61" spans="4:10" ht="12.75">
      <c r="D61" s="4">
        <v>55</v>
      </c>
      <c r="E61" s="5">
        <f t="shared" si="5"/>
        <v>46</v>
      </c>
      <c r="F61" s="27">
        <v>21.5</v>
      </c>
      <c r="G61" s="5">
        <f t="shared" si="9"/>
        <v>21.499</v>
      </c>
      <c r="H61" s="45">
        <f t="shared" si="6"/>
        <v>0.11797971</v>
      </c>
      <c r="I61" s="45">
        <f t="shared" si="7"/>
        <v>0.2876765531506849</v>
      </c>
      <c r="J61" s="46">
        <f t="shared" si="8"/>
        <v>0.010896186074151413</v>
      </c>
    </row>
    <row r="62" spans="4:10" ht="12.75">
      <c r="D62" s="4">
        <v>60</v>
      </c>
      <c r="E62" s="5">
        <f t="shared" si="5"/>
        <v>51</v>
      </c>
      <c r="F62" s="27">
        <v>15.2</v>
      </c>
      <c r="G62" s="5">
        <f t="shared" si="9"/>
        <v>15.199</v>
      </c>
      <c r="H62" s="45">
        <f t="shared" si="6"/>
        <v>0.08465271</v>
      </c>
      <c r="I62" s="45">
        <f t="shared" si="7"/>
        <v>0.206413457260274</v>
      </c>
      <c r="J62" s="46">
        <f t="shared" si="8"/>
        <v>0.007818222979537567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I37" sqref="I3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103.3</v>
      </c>
      <c r="G43" s="5">
        <f>F43-0.001</f>
        <v>103.29899999999999</v>
      </c>
      <c r="H43" s="45">
        <f aca="true" t="shared" si="1" ref="H43:H50">0.00529*G43+0.00425</f>
        <v>0.55070171</v>
      </c>
      <c r="I43" s="45">
        <f aca="true" t="shared" si="2" ref="I43:I50">H43/$B$10</f>
        <v>1.3428069093150685</v>
      </c>
      <c r="J43" s="46">
        <f aca="true" t="shared" si="3" ref="J43:J50">I43*10^-6/($B$47*$B$49)</f>
        <v>0.05086084974707404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87</v>
      </c>
      <c r="G44" s="5">
        <f aca="true" t="shared" si="4" ref="G44:G50">F44-0.001</f>
        <v>86.999</v>
      </c>
      <c r="H44" s="45">
        <f t="shared" si="1"/>
        <v>0.46447471</v>
      </c>
      <c r="I44" s="45">
        <f t="shared" si="2"/>
        <v>1.1325547723287672</v>
      </c>
      <c r="J44" s="46">
        <f t="shared" si="3"/>
        <v>0.042897230946723944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75</v>
      </c>
      <c r="G45" s="5">
        <f t="shared" si="4"/>
        <v>74.999</v>
      </c>
      <c r="H45" s="45">
        <f t="shared" si="1"/>
        <v>0.40099471</v>
      </c>
      <c r="I45" s="45">
        <f t="shared" si="2"/>
        <v>0.9777679230136985</v>
      </c>
      <c r="J45" s="46">
        <f t="shared" si="3"/>
        <v>0.03703444409984041</v>
      </c>
    </row>
    <row r="46" spans="4:10" ht="13.5" thickBot="1">
      <c r="D46" s="4">
        <v>40</v>
      </c>
      <c r="E46" s="5">
        <f t="shared" si="0"/>
        <v>31</v>
      </c>
      <c r="F46" s="27">
        <v>66.5</v>
      </c>
      <c r="G46" s="5">
        <f t="shared" si="4"/>
        <v>66.499</v>
      </c>
      <c r="H46" s="45">
        <f t="shared" si="1"/>
        <v>0.35602971</v>
      </c>
      <c r="I46" s="45">
        <f t="shared" si="2"/>
        <v>0.8681272380821917</v>
      </c>
      <c r="J46" s="46">
        <f t="shared" si="3"/>
        <v>0.032881636749964596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43.7</v>
      </c>
      <c r="G47" s="5">
        <f t="shared" si="4"/>
        <v>43.699000000000005</v>
      </c>
      <c r="H47" s="45">
        <f t="shared" si="1"/>
        <v>0.23541771000000006</v>
      </c>
      <c r="I47" s="45">
        <f t="shared" si="2"/>
        <v>0.5740322243835618</v>
      </c>
      <c r="J47" s="46">
        <f t="shared" si="3"/>
        <v>0.02174234174088592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37.6</v>
      </c>
      <c r="G48" s="5">
        <f t="shared" si="4"/>
        <v>37.599000000000004</v>
      </c>
      <c r="H48" s="45">
        <f t="shared" si="1"/>
        <v>0.20314871000000004</v>
      </c>
      <c r="I48" s="45">
        <f t="shared" si="2"/>
        <v>0.4953489093150686</v>
      </c>
      <c r="J48" s="46">
        <f t="shared" si="3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27.6</v>
      </c>
      <c r="G49" s="5">
        <f t="shared" si="4"/>
        <v>27.599</v>
      </c>
      <c r="H49" s="45">
        <f t="shared" si="1"/>
        <v>0.15024871</v>
      </c>
      <c r="I49" s="45">
        <f t="shared" si="2"/>
        <v>0.3663598682191781</v>
      </c>
      <c r="J49" s="46">
        <f t="shared" si="3"/>
        <v>0.013876436054650533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30.7</v>
      </c>
      <c r="G50" s="5">
        <f t="shared" si="4"/>
        <v>30.698999999999998</v>
      </c>
      <c r="H50" s="45">
        <f t="shared" si="1"/>
        <v>0.16664771</v>
      </c>
      <c r="I50" s="45">
        <f t="shared" si="2"/>
        <v>0.40634647095890414</v>
      </c>
      <c r="J50" s="46">
        <f t="shared" si="3"/>
        <v>0.015390989323428776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80</v>
      </c>
      <c r="G55" s="5">
        <f>F55-0.001</f>
        <v>79.999</v>
      </c>
      <c r="H55" s="45">
        <f aca="true" t="shared" si="6" ref="H55:H62">0.00529*G55+0.00425</f>
        <v>0.42744471</v>
      </c>
      <c r="I55" s="45">
        <f aca="true" t="shared" si="7" ref="I55:I62">H55/$B$10</f>
        <v>1.0422624435616439</v>
      </c>
      <c r="J55" s="46">
        <f aca="true" t="shared" si="8" ref="J55:J62">I55*10^-6/($B$47*$B$49)</f>
        <v>0.03947727195270855</v>
      </c>
    </row>
    <row r="56" spans="4:10" ht="12.75">
      <c r="D56" s="4">
        <v>30</v>
      </c>
      <c r="E56" s="5">
        <f t="shared" si="5"/>
        <v>21</v>
      </c>
      <c r="F56" s="5">
        <v>62</v>
      </c>
      <c r="G56" s="5">
        <f aca="true" t="shared" si="9" ref="G56:G62">F56-0.001</f>
        <v>61.999</v>
      </c>
      <c r="H56" s="45">
        <f t="shared" si="6"/>
        <v>0.33222471000000003</v>
      </c>
      <c r="I56" s="45">
        <f t="shared" si="7"/>
        <v>0.8100821695890412</v>
      </c>
      <c r="J56" s="46">
        <f t="shared" si="8"/>
        <v>0.030683091682383284</v>
      </c>
    </row>
    <row r="57" spans="4:10" ht="12.75">
      <c r="D57" s="4">
        <v>35</v>
      </c>
      <c r="E57" s="5">
        <f t="shared" si="5"/>
        <v>26</v>
      </c>
      <c r="F57" s="5">
        <v>50</v>
      </c>
      <c r="G57" s="5">
        <f t="shared" si="9"/>
        <v>49.999</v>
      </c>
      <c r="H57" s="45">
        <f t="shared" si="6"/>
        <v>0.26874471</v>
      </c>
      <c r="I57" s="45">
        <f t="shared" si="7"/>
        <v>0.6552953202739726</v>
      </c>
      <c r="J57" s="46">
        <f t="shared" si="8"/>
        <v>0.02482030483549976</v>
      </c>
    </row>
    <row r="58" spans="4:10" ht="12.75">
      <c r="D58" s="4">
        <v>40</v>
      </c>
      <c r="E58" s="5">
        <f t="shared" si="5"/>
        <v>31</v>
      </c>
      <c r="F58" s="27">
        <v>43.3</v>
      </c>
      <c r="G58" s="5">
        <f t="shared" si="9"/>
        <v>43.299</v>
      </c>
      <c r="H58" s="45">
        <f t="shared" si="6"/>
        <v>0.23330171000000002</v>
      </c>
      <c r="I58" s="45">
        <f t="shared" si="7"/>
        <v>0.568872662739726</v>
      </c>
      <c r="J58" s="46">
        <f t="shared" si="8"/>
        <v>0.02154691551265647</v>
      </c>
    </row>
    <row r="59" spans="4:10" ht="12.75">
      <c r="D59" s="4">
        <v>45</v>
      </c>
      <c r="E59" s="5">
        <f t="shared" si="5"/>
        <v>36</v>
      </c>
      <c r="F59" s="27">
        <v>31.6</v>
      </c>
      <c r="G59" s="5">
        <f t="shared" si="9"/>
        <v>31.599</v>
      </c>
      <c r="H59" s="45">
        <f t="shared" si="6"/>
        <v>0.17140871000000002</v>
      </c>
      <c r="I59" s="45">
        <f t="shared" si="7"/>
        <v>0.4179554846575343</v>
      </c>
      <c r="J59" s="46">
        <f t="shared" si="8"/>
        <v>0.01583069833694504</v>
      </c>
    </row>
    <row r="60" spans="4:10" ht="12.75">
      <c r="D60" s="4">
        <v>50</v>
      </c>
      <c r="E60" s="5">
        <f t="shared" si="5"/>
        <v>41</v>
      </c>
      <c r="F60" s="27">
        <v>25.6</v>
      </c>
      <c r="G60" s="5">
        <f t="shared" si="9"/>
        <v>25.599</v>
      </c>
      <c r="H60" s="45">
        <f t="shared" si="6"/>
        <v>0.13966871000000003</v>
      </c>
      <c r="I60" s="45">
        <f t="shared" si="7"/>
        <v>0.34056206000000006</v>
      </c>
      <c r="J60" s="46">
        <f t="shared" si="8"/>
        <v>0.012899304913503282</v>
      </c>
    </row>
    <row r="61" spans="4:10" ht="12.75">
      <c r="D61" s="4">
        <v>55</v>
      </c>
      <c r="E61" s="5">
        <f t="shared" si="5"/>
        <v>46</v>
      </c>
      <c r="F61" s="27">
        <v>22.8</v>
      </c>
      <c r="G61" s="5">
        <f t="shared" si="9"/>
        <v>22.799</v>
      </c>
      <c r="H61" s="45">
        <f t="shared" si="6"/>
        <v>0.12485671000000001</v>
      </c>
      <c r="I61" s="45">
        <f t="shared" si="7"/>
        <v>0.3044451284931507</v>
      </c>
      <c r="J61" s="46">
        <f t="shared" si="8"/>
        <v>0.011531321315897127</v>
      </c>
    </row>
    <row r="62" spans="4:10" ht="12.75">
      <c r="D62" s="4">
        <v>60</v>
      </c>
      <c r="E62" s="5">
        <f t="shared" si="5"/>
        <v>51</v>
      </c>
      <c r="F62" s="27">
        <v>22.1</v>
      </c>
      <c r="G62" s="5">
        <f t="shared" si="9"/>
        <v>22.099</v>
      </c>
      <c r="H62" s="45">
        <f t="shared" si="6"/>
        <v>0.12115371000000001</v>
      </c>
      <c r="I62" s="45">
        <f t="shared" si="7"/>
        <v>0.2954158956164384</v>
      </c>
      <c r="J62" s="46">
        <f t="shared" si="8"/>
        <v>0.011189325416495588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A58" sqref="A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D43-9</f>
        <v>16</v>
      </c>
      <c r="F43" s="5">
        <v>84</v>
      </c>
      <c r="G43" s="5">
        <f>F43-0.001</f>
        <v>83.999</v>
      </c>
      <c r="H43" s="45">
        <f>0.00529*G43+0.00425</f>
        <v>0.44860470999999996</v>
      </c>
      <c r="I43" s="45">
        <f aca="true" t="shared" si="0" ref="I43:I50">H43/$B$10</f>
        <v>1.0938580599999999</v>
      </c>
      <c r="J43" s="46">
        <f aca="true" t="shared" si="1" ref="J43:J50">I43*10^-6/($B$47*$B$49)</f>
        <v>0.04143153423500305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aca="true" t="shared" si="2" ref="E44:E50">D44-9</f>
        <v>21</v>
      </c>
      <c r="F44" s="5">
        <v>59</v>
      </c>
      <c r="G44" s="5">
        <f aca="true" t="shared" si="3" ref="G44:G50">F44-0.001</f>
        <v>58.999</v>
      </c>
      <c r="H44" s="45">
        <f aca="true" t="shared" si="4" ref="H44:H50">0.00529*G44+0.00425</f>
        <v>0.31635471000000004</v>
      </c>
      <c r="I44" s="45">
        <f t="shared" si="0"/>
        <v>0.7713854572602741</v>
      </c>
      <c r="J44" s="46">
        <f t="shared" si="1"/>
        <v>0.029217394970662405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26</v>
      </c>
      <c r="F45" s="5">
        <v>46</v>
      </c>
      <c r="G45" s="5">
        <f t="shared" si="3"/>
        <v>45.999</v>
      </c>
      <c r="H45" s="45">
        <f t="shared" si="4"/>
        <v>0.24758471000000004</v>
      </c>
      <c r="I45" s="45">
        <f t="shared" si="0"/>
        <v>0.6036997038356166</v>
      </c>
      <c r="J45" s="46">
        <f t="shared" si="1"/>
        <v>0.022866042553205262</v>
      </c>
    </row>
    <row r="46" spans="4:10" ht="13.5" thickBot="1">
      <c r="D46" s="4">
        <v>40</v>
      </c>
      <c r="E46" s="5">
        <f t="shared" si="2"/>
        <v>31</v>
      </c>
      <c r="F46" s="27">
        <v>38</v>
      </c>
      <c r="G46" s="5">
        <f t="shared" si="3"/>
        <v>37.999</v>
      </c>
      <c r="H46" s="45">
        <f t="shared" si="4"/>
        <v>0.20526471000000004</v>
      </c>
      <c r="I46" s="45">
        <f t="shared" si="0"/>
        <v>0.5005084709589042</v>
      </c>
      <c r="J46" s="46">
        <f t="shared" si="1"/>
        <v>0.018957517988616248</v>
      </c>
    </row>
    <row r="47" spans="1:10" ht="13.5" thickBot="1">
      <c r="A47" s="23" t="s">
        <v>12</v>
      </c>
      <c r="B47" s="57">
        <v>0.0377</v>
      </c>
      <c r="C47" t="s">
        <v>5</v>
      </c>
      <c r="D47" s="4">
        <v>45</v>
      </c>
      <c r="E47" s="5">
        <f t="shared" si="2"/>
        <v>36</v>
      </c>
      <c r="F47" s="27">
        <v>39</v>
      </c>
      <c r="G47" s="5">
        <f t="shared" si="3"/>
        <v>38.999</v>
      </c>
      <c r="H47" s="45">
        <f t="shared" si="4"/>
        <v>0.21055471000000003</v>
      </c>
      <c r="I47" s="45">
        <f t="shared" si="0"/>
        <v>0.5134073750684932</v>
      </c>
      <c r="J47" s="46">
        <f t="shared" si="1"/>
        <v>0.019446083559189874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2"/>
        <v>41</v>
      </c>
      <c r="F48" s="27">
        <v>37.6</v>
      </c>
      <c r="G48" s="5">
        <f t="shared" si="3"/>
        <v>37.599000000000004</v>
      </c>
      <c r="H48" s="45">
        <f t="shared" si="4"/>
        <v>0.20314871000000004</v>
      </c>
      <c r="I48" s="45">
        <f t="shared" si="0"/>
        <v>0.4953489093150686</v>
      </c>
      <c r="J48" s="46">
        <f t="shared" si="1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46</v>
      </c>
      <c r="F49" s="27">
        <v>23.7</v>
      </c>
      <c r="G49" s="5">
        <f t="shared" si="3"/>
        <v>23.698999999999998</v>
      </c>
      <c r="H49" s="45">
        <f t="shared" si="4"/>
        <v>0.12961771</v>
      </c>
      <c r="I49" s="45">
        <f t="shared" si="0"/>
        <v>0.3160541421917808</v>
      </c>
      <c r="J49" s="46">
        <f t="shared" si="1"/>
        <v>0.011971030329413388</v>
      </c>
    </row>
    <row r="50" spans="1:10" ht="12.75">
      <c r="A50" s="21" t="s">
        <v>13</v>
      </c>
      <c r="D50" s="4">
        <v>60</v>
      </c>
      <c r="E50" s="5">
        <f t="shared" si="2"/>
        <v>51</v>
      </c>
      <c r="F50" s="27">
        <v>24.5</v>
      </c>
      <c r="G50" s="5">
        <f t="shared" si="3"/>
        <v>24.499</v>
      </c>
      <c r="H50" s="45">
        <f t="shared" si="4"/>
        <v>0.13384971</v>
      </c>
      <c r="I50" s="45">
        <f t="shared" si="0"/>
        <v>0.32637326547945206</v>
      </c>
      <c r="J50" s="46">
        <f t="shared" si="1"/>
        <v>0.012361882785872292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>D55-9</f>
        <v>16</v>
      </c>
      <c r="F55" s="5">
        <v>67</v>
      </c>
      <c r="G55" s="5">
        <f>F55-0.001</f>
        <v>66.999</v>
      </c>
      <c r="H55" s="45">
        <f>0.00529*G55+0.00425</f>
        <v>0.35867470999999995</v>
      </c>
      <c r="I55" s="45">
        <f>H55/$B$10</f>
        <v>0.8745766901369861</v>
      </c>
      <c r="J55" s="46">
        <f>I55*10^-6/($B$47*$B$49)</f>
        <v>0.0331259195352514</v>
      </c>
    </row>
    <row r="56" spans="4:10" ht="12.75">
      <c r="D56" s="4">
        <v>30</v>
      </c>
      <c r="E56" s="5">
        <f aca="true" t="shared" si="5" ref="E56:E62">D56-9</f>
        <v>21</v>
      </c>
      <c r="F56" s="5">
        <v>44.8</v>
      </c>
      <c r="G56" s="5">
        <f aca="true" t="shared" si="6" ref="G56:G62">F56-0.001</f>
        <v>44.799</v>
      </c>
      <c r="H56" s="45">
        <f aca="true" t="shared" si="7" ref="H56:H62">0.00529*G56+0.00425</f>
        <v>0.24123671000000002</v>
      </c>
      <c r="I56" s="45">
        <f aca="true" t="shared" si="8" ref="I56:I62">H56/$B$10</f>
        <v>0.5882210189041096</v>
      </c>
      <c r="J56" s="46">
        <f aca="true" t="shared" si="9" ref="J56:J62">I56*10^-6/($B$47*$B$49)</f>
        <v>0.022279763868516905</v>
      </c>
    </row>
    <row r="57" spans="4:10" ht="12.75">
      <c r="D57" s="4">
        <v>35</v>
      </c>
      <c r="E57" s="5">
        <f t="shared" si="5"/>
        <v>26</v>
      </c>
      <c r="F57" s="5">
        <v>36.2</v>
      </c>
      <c r="G57" s="5">
        <f t="shared" si="6"/>
        <v>36.199000000000005</v>
      </c>
      <c r="H57" s="45">
        <f t="shared" si="7"/>
        <v>0.19574271000000004</v>
      </c>
      <c r="I57" s="45">
        <f t="shared" si="8"/>
        <v>0.47729044356164396</v>
      </c>
      <c r="J57" s="46">
        <f t="shared" si="9"/>
        <v>0.018078099961583726</v>
      </c>
    </row>
    <row r="58" spans="4:10" ht="12.75">
      <c r="D58" s="4">
        <v>40</v>
      </c>
      <c r="E58" s="5">
        <f t="shared" si="5"/>
        <v>31</v>
      </c>
      <c r="F58" s="27">
        <v>28.5</v>
      </c>
      <c r="G58" s="5">
        <f t="shared" si="6"/>
        <v>28.499</v>
      </c>
      <c r="H58" s="45">
        <f t="shared" si="7"/>
        <v>0.15500971000000002</v>
      </c>
      <c r="I58" s="45">
        <f t="shared" si="8"/>
        <v>0.37796888191780825</v>
      </c>
      <c r="J58" s="46">
        <f t="shared" si="9"/>
        <v>0.014316145068166797</v>
      </c>
    </row>
    <row r="59" spans="4:10" ht="12.75">
      <c r="D59" s="4">
        <v>45</v>
      </c>
      <c r="E59" s="5">
        <f t="shared" si="5"/>
        <v>36</v>
      </c>
      <c r="F59" s="27">
        <v>24.3</v>
      </c>
      <c r="G59" s="5">
        <f t="shared" si="6"/>
        <v>24.299</v>
      </c>
      <c r="H59" s="45">
        <f t="shared" si="7"/>
        <v>0.13279171</v>
      </c>
      <c r="I59" s="45">
        <f t="shared" si="8"/>
        <v>0.32379348465753427</v>
      </c>
      <c r="J59" s="46">
        <f t="shared" si="9"/>
        <v>0.012264169671757566</v>
      </c>
    </row>
    <row r="60" spans="4:10" ht="12.75">
      <c r="D60" s="4">
        <v>50</v>
      </c>
      <c r="E60" s="5">
        <f t="shared" si="5"/>
        <v>41</v>
      </c>
      <c r="F60" s="27">
        <v>24.6</v>
      </c>
      <c r="G60" s="5">
        <f t="shared" si="6"/>
        <v>24.599</v>
      </c>
      <c r="H60" s="45">
        <f t="shared" si="7"/>
        <v>0.13437871</v>
      </c>
      <c r="I60" s="45">
        <f t="shared" si="8"/>
        <v>0.327663155890411</v>
      </c>
      <c r="J60" s="46">
        <f t="shared" si="9"/>
        <v>0.012410739342929656</v>
      </c>
    </row>
    <row r="61" spans="4:10" ht="12.75">
      <c r="D61" s="4">
        <v>55</v>
      </c>
      <c r="E61" s="5">
        <f t="shared" si="5"/>
        <v>46</v>
      </c>
      <c r="F61" s="27">
        <v>14.7</v>
      </c>
      <c r="G61" s="5">
        <f t="shared" si="6"/>
        <v>14.699</v>
      </c>
      <c r="H61" s="45">
        <f t="shared" si="7"/>
        <v>0.08200771000000001</v>
      </c>
      <c r="I61" s="45">
        <f t="shared" si="8"/>
        <v>0.19996400520547947</v>
      </c>
      <c r="J61" s="46">
        <f t="shared" si="9"/>
        <v>0.007573940194250754</v>
      </c>
    </row>
    <row r="62" spans="4:10" ht="12.75">
      <c r="D62" s="4">
        <v>60</v>
      </c>
      <c r="E62" s="5">
        <f t="shared" si="5"/>
        <v>51</v>
      </c>
      <c r="F62" s="27">
        <v>14</v>
      </c>
      <c r="G62" s="5">
        <f t="shared" si="6"/>
        <v>13.999</v>
      </c>
      <c r="H62" s="45">
        <f t="shared" si="7"/>
        <v>0.07830471000000001</v>
      </c>
      <c r="I62" s="45">
        <f t="shared" si="8"/>
        <v>0.19093477232876715</v>
      </c>
      <c r="J62" s="46">
        <f t="shared" si="9"/>
        <v>0.007231944294849216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smith</cp:lastModifiedBy>
  <cp:lastPrinted>2010-02-16T19:27:44Z</cp:lastPrinted>
  <dcterms:created xsi:type="dcterms:W3CDTF">2007-06-27T21:00:11Z</dcterms:created>
  <dcterms:modified xsi:type="dcterms:W3CDTF">2013-04-10T22:22:42Z</dcterms:modified>
  <cp:category/>
  <cp:version/>
  <cp:contentType/>
  <cp:contentStatus/>
</cp:coreProperties>
</file>