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igg_\Documents\Altium\Converter\Prototype\LIGO_DAC_AI_Interface\Project Outputs for LIGO_DAC_AI_NR_Interface\"/>
    </mc:Choice>
  </mc:AlternateContent>
  <xr:revisionPtr revIDLastSave="0" documentId="8_{18D69B46-746B-4665-9DC9-AC768F377A70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3" l="1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L21" i="3" l="1"/>
  <c r="M21" i="3" s="1"/>
  <c r="L14" i="3"/>
  <c r="M14" i="3" s="1"/>
  <c r="L20" i="3"/>
  <c r="M20" i="3" s="1"/>
  <c r="L15" i="3"/>
  <c r="M15" i="3" s="1"/>
  <c r="L16" i="3"/>
  <c r="M16" i="3" s="1"/>
  <c r="L22" i="3"/>
  <c r="M22" i="3" s="1"/>
  <c r="L17" i="3"/>
  <c r="M17" i="3" s="1"/>
  <c r="L23" i="3"/>
  <c r="M23" i="3" s="1"/>
  <c r="L12" i="3"/>
  <c r="M12" i="3" s="1"/>
  <c r="L18" i="3"/>
  <c r="M18" i="3" s="1"/>
  <c r="L24" i="3"/>
  <c r="M24" i="3" s="1"/>
  <c r="L13" i="3"/>
  <c r="M13" i="3" s="1"/>
  <c r="L19" i="3"/>
  <c r="M19" i="3" s="1"/>
  <c r="L25" i="3"/>
  <c r="M25" i="3" s="1"/>
  <c r="J11" i="3"/>
  <c r="K11" i="3"/>
  <c r="K10" i="3"/>
  <c r="J10" i="3"/>
  <c r="E36" i="3"/>
  <c r="E35" i="3"/>
  <c r="E34" i="3"/>
  <c r="E33" i="3"/>
  <c r="E32" i="3"/>
  <c r="E31" i="3"/>
  <c r="B26" i="3"/>
  <c r="D8" i="3"/>
  <c r="E8" i="3"/>
  <c r="L11" i="3" l="1"/>
  <c r="M11" i="3" s="1"/>
  <c r="L10" i="3"/>
  <c r="M10" i="3" s="1"/>
</calcChain>
</file>

<file path=xl/sharedStrings.xml><?xml version="1.0" encoding="utf-8"?>
<sst xmlns="http://schemas.openxmlformats.org/spreadsheetml/2006/main" count="144" uniqueCount="110">
  <si>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</si>
  <si>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</si>
  <si>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</si>
  <si>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</si>
  <si>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</si>
  <si>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</si>
  <si>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</si>
  <si>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</si>
  <si>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</si>
  <si>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</si>
  <si>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</si>
  <si>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</si>
  <si>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</si>
  <si>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</si>
  <si>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</si>
  <si>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</si>
  <si>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</si>
  <si>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</si>
  <si>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</si>
  <si>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</si>
  <si>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D2500097</t>
  </si>
  <si>
    <t>v1</t>
  </si>
  <si>
    <t>LIGO_DAC_AI_NR_Interface.PrjPCB</t>
  </si>
  <si>
    <t>25</t>
  </si>
  <si>
    <t>Daniel Sigg</t>
  </si>
  <si>
    <t>3/16/2025</t>
  </si>
  <si>
    <t>8:33 PM</t>
  </si>
  <si>
    <t>Quantity</t>
  </si>
  <si>
    <t>Distributor</t>
  </si>
  <si>
    <t>Digi-Key</t>
  </si>
  <si>
    <t>None</t>
  </si>
  <si>
    <t>Part Number</t>
  </si>
  <si>
    <t>445-C5750X7R1V476M230KCCT-ND</t>
  </si>
  <si>
    <t>311-1140-1-ND</t>
  </si>
  <si>
    <t>67-1304-ND</t>
  </si>
  <si>
    <t>A34072-ND</t>
  </si>
  <si>
    <t>A31814-ND</t>
  </si>
  <si>
    <t>WM5226-ND</t>
  </si>
  <si>
    <t>SAM10844-ND</t>
  </si>
  <si>
    <t>S9337-ND</t>
  </si>
  <si>
    <t>A23470-ND</t>
  </si>
  <si>
    <t>311-2.21KCRCT-ND</t>
  </si>
  <si>
    <t>311-499CRCT-ND</t>
  </si>
  <si>
    <t/>
  </si>
  <si>
    <t>5005K-ND</t>
  </si>
  <si>
    <t>5007K-ND</t>
  </si>
  <si>
    <t>5006K-ND</t>
  </si>
  <si>
    <t>559-1027-1-ND</t>
  </si>
  <si>
    <t>Comment</t>
  </si>
  <si>
    <t>47u</t>
  </si>
  <si>
    <t>100n</t>
  </si>
  <si>
    <t>LED</t>
  </si>
  <si>
    <t>DB9F</t>
  </si>
  <si>
    <t>787082-7</t>
  </si>
  <si>
    <t>26-61-4040</t>
  </si>
  <si>
    <t>Header 2</t>
  </si>
  <si>
    <t>Jumper</t>
  </si>
  <si>
    <t>Screwlock Kit</t>
  </si>
  <si>
    <t>2.21K</t>
  </si>
  <si>
    <t>499</t>
  </si>
  <si>
    <t>NL</t>
  </si>
  <si>
    <t>Vin+</t>
  </si>
  <si>
    <t>Vin−</t>
  </si>
  <si>
    <t>GND</t>
  </si>
  <si>
    <t>PS2702-1-F3-A</t>
  </si>
  <si>
    <t>Description</t>
  </si>
  <si>
    <t>Capacitor, surface mount</t>
  </si>
  <si>
    <t>Panel mount LED</t>
  </si>
  <si>
    <t>Receptacle Assembly, 9 Position, Right Angle, .318 Series</t>
  </si>
  <si>
    <t>Receptacle Assembly, Shielded, Right Angle, AMPLIMITE</t>
  </si>
  <si>
    <t>Connector</t>
  </si>
  <si>
    <t>Header, 2-Pin</t>
  </si>
  <si>
    <t>Jackscrew Socket, Slotted For AMPLIMITE Series: 786585-2</t>
  </si>
  <si>
    <t>Resistor, surface mount</t>
  </si>
  <si>
    <t>Testpoint, red</t>
  </si>
  <si>
    <t>Testpoint, white</t>
  </si>
  <si>
    <t>Testpoint, black</t>
  </si>
  <si>
    <t>High Isolation Voltage SOP Photocoupler</t>
  </si>
  <si>
    <t>Designator</t>
  </si>
  <si>
    <t>C7</t>
  </si>
  <si>
    <t>C8</t>
  </si>
  <si>
    <t>DS1</t>
  </si>
  <si>
    <t>J1, J2, J3, J4</t>
  </si>
  <si>
    <t>P1, P2</t>
  </si>
  <si>
    <t>P4</t>
  </si>
  <si>
    <t>P5</t>
  </si>
  <si>
    <t>PN1</t>
  </si>
  <si>
    <t>PN2, PN3</t>
  </si>
  <si>
    <t>R1, R3</t>
  </si>
  <si>
    <t>R2</t>
  </si>
  <si>
    <t>R4, R5</t>
  </si>
  <si>
    <t>TP1</t>
  </si>
  <si>
    <t>TP2</t>
  </si>
  <si>
    <t>TP3</t>
  </si>
  <si>
    <t>U1, U2</t>
  </si>
  <si>
    <t>Footprint</t>
  </si>
  <si>
    <t>CC5650-2220</t>
  </si>
  <si>
    <t>CC2013-0805</t>
  </si>
  <si>
    <t>LED-1</t>
  </si>
  <si>
    <t>DB9F-ST</t>
  </si>
  <si>
    <t>HDRV4W155P0X396_1X4_1570X1001X1536P</t>
  </si>
  <si>
    <t>TSW-102-XX-YY-S</t>
  </si>
  <si>
    <t>CR2012-0805</t>
  </si>
  <si>
    <t>TP1-RED</t>
  </si>
  <si>
    <t>TP1-WHT</t>
  </si>
  <si>
    <t>TP1-BLK</t>
  </si>
  <si>
    <t>PS2701A-1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</si>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</sst>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6" totalsRowShown="0" headerRowDxfId="17" dataDxfId="15" headerRowBorderDxfId="16" tableBorderDxfId="14">
  <autoFilter ref="B9:M26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6"/>
  <sheetViews>
    <sheetView showGridLines="0" tabSelected="1" zoomScaleNormal="100" workbookViewId="0">
      <selection activeCell="I4" sqref="I4"/>
    </sheetView>
  </sheetViews>
  <sheetFormatPr defaultColWidth="9.1328125" defaultRowHeight="12.75" x14ac:dyDescent="0.35"/>
  <cols>
    <col min="1" max="1" width="0.86328125" style="1" customWidth="1"/>
    <col min="2" max="2" width="7.265625" style="3" customWidth="1"/>
    <col min="3" max="3" width="18.59765625" style="3" customWidth="1"/>
    <col min="4" max="4" width="24.86328125" style="1" customWidth="1"/>
    <col min="5" max="5" width="18" style="1" customWidth="1"/>
    <col min="6" max="6" width="30.73046875" style="1" customWidth="1"/>
    <col min="7" max="7" width="40.73046875" style="1" customWidth="1"/>
    <col min="8" max="8" width="17.265625" style="1" customWidth="1"/>
    <col min="9" max="9" width="5.3984375" style="1" customWidth="1"/>
    <col min="10" max="10" width="7" style="1" customWidth="1"/>
    <col min="11" max="11" width="8.73046875" style="1" customWidth="1"/>
    <col min="12" max="12" width="6.73046875" style="1" customWidth="1"/>
    <col min="13" max="13" width="12.59765625" style="1" customWidth="1"/>
    <col min="14" max="16384" width="9.1328125" style="1"/>
  </cols>
  <sheetData>
    <row r="1" spans="1:13" ht="4.5" customHeight="1" thickBot="1" x14ac:dyDescent="0.4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3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4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4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4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.15" x14ac:dyDescent="0.4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3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35">
      <c r="A8" s="13"/>
      <c r="B8" s="6" t="s">
        <v>1</v>
      </c>
      <c r="D8" s="32">
        <f ca="1">TODAY()</f>
        <v>45732</v>
      </c>
      <c r="E8" s="51">
        <f ca="1">NOW()</f>
        <v>45732.856895949073</v>
      </c>
      <c r="F8" s="52"/>
      <c r="G8" s="11"/>
      <c r="H8" s="11"/>
      <c r="M8" s="24"/>
    </row>
    <row r="9" spans="1:13" s="2" customFormat="1" ht="24.75" customHeight="1" x14ac:dyDescent="0.35">
      <c r="A9" s="13"/>
      <c r="B9" s="38" t="s">
        <v>27</v>
      </c>
      <c r="C9" s="39" t="s">
        <v>28</v>
      </c>
      <c r="D9" s="39" t="s">
        <v>31</v>
      </c>
      <c r="E9" s="39" t="s">
        <v>48</v>
      </c>
      <c r="F9" s="39" t="s">
        <v>65</v>
      </c>
      <c r="G9" s="40" t="s">
        <v>78</v>
      </c>
      <c r="H9" s="39" t="s">
        <v>95</v>
      </c>
      <c r="I9" s="39" t="s">
        <v>107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13.15" x14ac:dyDescent="0.35">
      <c r="A10" s="13"/>
      <c r="B10" s="45">
        <v>1</v>
      </c>
      <c r="C10" s="46" t="s">
        <v>29</v>
      </c>
      <c r="D10" s="46" t="s">
        <v>32</v>
      </c>
      <c r="E10" s="46" t="s">
        <v>49</v>
      </c>
      <c r="F10" s="46" t="s">
        <v>66</v>
      </c>
      <c r="G10" s="46" t="s">
        <v>79</v>
      </c>
      <c r="H10" s="46" t="s">
        <v>96</v>
      </c>
      <c r="I10" s="46"/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30</v>
      </c>
    </row>
    <row r="11" spans="1:13" s="2" customFormat="1" ht="13.15" x14ac:dyDescent="0.35">
      <c r="A11" s="13"/>
      <c r="B11" s="45">
        <v>1</v>
      </c>
      <c r="C11" s="46" t="s">
        <v>29</v>
      </c>
      <c r="D11" s="46" t="s">
        <v>33</v>
      </c>
      <c r="E11" s="46" t="s">
        <v>50</v>
      </c>
      <c r="F11" s="46" t="s">
        <v>66</v>
      </c>
      <c r="G11" s="46" t="s">
        <v>80</v>
      </c>
      <c r="H11" s="46" t="s">
        <v>97</v>
      </c>
      <c r="I11" s="46"/>
      <c r="J11" s="48">
        <f t="shared" ref="J11:J25" si="0">+IF(OR(I11="BGA",I11="FP",I11="TH"),1,IF($I$4*B11&lt;100,5,0))</f>
        <v>5</v>
      </c>
      <c r="K11" s="47">
        <f t="shared" ref="K11:K25" si="1">+IF(AND(I11="",$I$4*B11&gt;100),0.05,0)</f>
        <v>0</v>
      </c>
      <c r="L11" s="48">
        <f t="shared" ref="L11:L25" si="2">+ROUNDUP($I$4*B11*K11+J11,0)</f>
        <v>5</v>
      </c>
      <c r="M11" s="41">
        <f t="shared" ref="M11:M25" si="3">+IF(OR(LEFT(G11&amp;"",1)="C",LEFT(G11&amp;"",1)="R"),ROUNDUP($I$4*B11+L11,-1),$I$4*B11+L11)</f>
        <v>30</v>
      </c>
    </row>
    <row r="12" spans="1:13" s="2" customFormat="1" ht="13.15" x14ac:dyDescent="0.35">
      <c r="A12" s="13"/>
      <c r="B12" s="45">
        <v>1</v>
      </c>
      <c r="C12" s="46" t="s">
        <v>29</v>
      </c>
      <c r="D12" s="46" t="s">
        <v>34</v>
      </c>
      <c r="E12" s="46" t="s">
        <v>51</v>
      </c>
      <c r="F12" s="46" t="s">
        <v>67</v>
      </c>
      <c r="G12" s="46" t="s">
        <v>81</v>
      </c>
      <c r="H12" s="46" t="s">
        <v>98</v>
      </c>
      <c r="I12" s="46" t="s">
        <v>108</v>
      </c>
      <c r="J12" s="48">
        <f>+IF(OR(I12="BGA",I12="FP",I12="TH"),1,IF($I$4*B12&lt;100,5,0))</f>
        <v>1</v>
      </c>
      <c r="K12" s="47">
        <f>+IF(AND(I12="",$I$4*B12&gt;100),0.05,0)</f>
        <v>0</v>
      </c>
      <c r="L12" s="48">
        <f>+ROUNDUP($I$4*B12*K12+J12,0)</f>
        <v>1</v>
      </c>
      <c r="M12" s="41">
        <f>+IF(OR(LEFT(G12&amp;"",1)="C",LEFT(G12&amp;"",1)="R"),ROUNDUP($I$4*B12+L12,-1),$I$4*B12+L12)</f>
        <v>26</v>
      </c>
    </row>
    <row r="13" spans="1:13" s="2" customFormat="1" ht="20.65" x14ac:dyDescent="0.35">
      <c r="A13" s="13"/>
      <c r="B13" s="45">
        <v>4</v>
      </c>
      <c r="C13" s="46" t="s">
        <v>29</v>
      </c>
      <c r="D13" s="46" t="s">
        <v>35</v>
      </c>
      <c r="E13" s="46" t="s">
        <v>52</v>
      </c>
      <c r="F13" s="46" t="s">
        <v>68</v>
      </c>
      <c r="G13" s="46" t="s">
        <v>82</v>
      </c>
      <c r="H13" s="46" t="s">
        <v>99</v>
      </c>
      <c r="I13" s="46" t="s">
        <v>108</v>
      </c>
      <c r="J13" s="48">
        <f t="shared" ref="J13" si="4">+IF(OR(I13="BGA",I13="FP",I13="TH"),1,IF($I$4*B13&lt;100,5,0))</f>
        <v>1</v>
      </c>
      <c r="K13" s="47">
        <f t="shared" ref="K13" si="5">+IF(AND(I13="",$I$4*B13&gt;100),0.05,0)</f>
        <v>0</v>
      </c>
      <c r="L13" s="48">
        <f t="shared" ref="L13" si="6">+ROUNDUP($I$4*B13*K13+J13,0)</f>
        <v>1</v>
      </c>
      <c r="M13" s="41">
        <f t="shared" ref="M13" si="7">+IF(OR(LEFT(G13&amp;"",1)="C",LEFT(G13&amp;"",1)="R"),ROUNDUP($I$4*B13+L13,-1),$I$4*B13+L13)</f>
        <v>101</v>
      </c>
    </row>
    <row r="14" spans="1:13" s="2" customFormat="1" ht="20.65" x14ac:dyDescent="0.35">
      <c r="A14" s="13"/>
      <c r="B14" s="45">
        <v>2</v>
      </c>
      <c r="C14" s="46" t="s">
        <v>29</v>
      </c>
      <c r="D14" s="46" t="s">
        <v>36</v>
      </c>
      <c r="E14" s="46" t="s">
        <v>53</v>
      </c>
      <c r="F14" s="46" t="s">
        <v>69</v>
      </c>
      <c r="G14" s="46" t="s">
        <v>83</v>
      </c>
      <c r="H14" s="46" t="s">
        <v>53</v>
      </c>
      <c r="I14" s="46" t="s">
        <v>108</v>
      </c>
      <c r="J14" s="48">
        <f>+IF(OR(I14="BGA",I14="FP",I14="TH"),1,IF($I$4*B14&lt;100,5,0))</f>
        <v>1</v>
      </c>
      <c r="K14" s="47">
        <f>+IF(AND(I14="",$I$4*B14&gt;100),0.05,0)</f>
        <v>0</v>
      </c>
      <c r="L14" s="48">
        <f>+ROUNDUP($I$4*B14*K14+J14,0)</f>
        <v>1</v>
      </c>
      <c r="M14" s="41">
        <f>+IF(OR(LEFT(G14&amp;"",1)="C",LEFT(G14&amp;"",1)="R"),ROUNDUP($I$4*B14+L14,-1),$I$4*B14+L14)</f>
        <v>51</v>
      </c>
    </row>
    <row r="15" spans="1:13" s="2" customFormat="1" ht="20.65" x14ac:dyDescent="0.35">
      <c r="A15" s="13"/>
      <c r="B15" s="45">
        <v>1</v>
      </c>
      <c r="C15" s="46" t="s">
        <v>29</v>
      </c>
      <c r="D15" s="46" t="s">
        <v>37</v>
      </c>
      <c r="E15" s="46" t="s">
        <v>54</v>
      </c>
      <c r="F15" s="46" t="s">
        <v>70</v>
      </c>
      <c r="G15" s="46" t="s">
        <v>84</v>
      </c>
      <c r="H15" s="46" t="s">
        <v>100</v>
      </c>
      <c r="I15" s="46" t="s">
        <v>108</v>
      </c>
      <c r="J15" s="48">
        <f t="shared" ref="J15:J17" si="8">+IF(OR(I15="BGA",I15="FP",I15="TH"),1,IF($I$4*B15&lt;100,5,0))</f>
        <v>1</v>
      </c>
      <c r="K15" s="47">
        <f t="shared" ref="K15:K17" si="9">+IF(AND(I15="",$I$4*B15&gt;100),0.05,0)</f>
        <v>0</v>
      </c>
      <c r="L15" s="48">
        <f t="shared" ref="L15:L17" si="10">+ROUNDUP($I$4*B15*K15+J15,0)</f>
        <v>1</v>
      </c>
      <c r="M15" s="41">
        <f t="shared" ref="M15:M17" si="11">+IF(OR(LEFT(G15&amp;"",1)="C",LEFT(G15&amp;"",1)="R"),ROUNDUP($I$4*B15+L15,-1),$I$4*B15+L15)</f>
        <v>26</v>
      </c>
    </row>
    <row r="16" spans="1:13" s="2" customFormat="1" ht="13.15" x14ac:dyDescent="0.35">
      <c r="A16" s="13"/>
      <c r="B16" s="45">
        <v>1</v>
      </c>
      <c r="C16" s="46" t="s">
        <v>29</v>
      </c>
      <c r="D16" s="46" t="s">
        <v>38</v>
      </c>
      <c r="E16" s="46" t="s">
        <v>55</v>
      </c>
      <c r="F16" s="46" t="s">
        <v>71</v>
      </c>
      <c r="G16" s="46" t="s">
        <v>85</v>
      </c>
      <c r="H16" s="46" t="s">
        <v>101</v>
      </c>
      <c r="I16" s="46" t="s">
        <v>108</v>
      </c>
      <c r="J16" s="48">
        <f>+IF(OR(I16="BGA",I16="FP",I16="TH"),1,IF($I$4*B16&lt;100,5,0))</f>
        <v>1</v>
      </c>
      <c r="K16" s="47">
        <f>+IF(AND(I16="",$I$4*B16&gt;100),0.05,0)</f>
        <v>0</v>
      </c>
      <c r="L16" s="48">
        <f>+ROUNDUP($I$4*B16*K16+J16,0)</f>
        <v>1</v>
      </c>
      <c r="M16" s="41">
        <f>+IF(OR(LEFT(G16&amp;"",1)="C",LEFT(G16&amp;"",1)="R"),ROUNDUP($I$4*B16+L16,-1),$I$4*B16+L16)</f>
        <v>26</v>
      </c>
    </row>
    <row r="17" spans="1:13" s="2" customFormat="1" ht="13.15" x14ac:dyDescent="0.35">
      <c r="A17" s="13"/>
      <c r="B17" s="45">
        <v>1</v>
      </c>
      <c r="C17" s="46" t="s">
        <v>29</v>
      </c>
      <c r="D17" s="46" t="s">
        <v>39</v>
      </c>
      <c r="E17" s="46" t="s">
        <v>56</v>
      </c>
      <c r="F17" s="46" t="s">
        <v>56</v>
      </c>
      <c r="G17" s="46" t="s">
        <v>86</v>
      </c>
      <c r="H17" s="46" t="s">
        <v>43</v>
      </c>
      <c r="I17" s="46" t="s">
        <v>109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30</v>
      </c>
    </row>
    <row r="18" spans="1:13" s="2" customFormat="1" ht="20.65" x14ac:dyDescent="0.35">
      <c r="A18" s="13"/>
      <c r="B18" s="45">
        <v>2</v>
      </c>
      <c r="C18" s="46" t="s">
        <v>29</v>
      </c>
      <c r="D18" s="46" t="s">
        <v>40</v>
      </c>
      <c r="E18" s="46" t="s">
        <v>57</v>
      </c>
      <c r="F18" s="46" t="s">
        <v>72</v>
      </c>
      <c r="G18" s="46" t="s">
        <v>87</v>
      </c>
      <c r="H18" s="46" t="s">
        <v>43</v>
      </c>
      <c r="I18" s="46" t="s">
        <v>109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55</v>
      </c>
    </row>
    <row r="19" spans="1:13" s="2" customFormat="1" ht="13.15" x14ac:dyDescent="0.35">
      <c r="A19" s="13"/>
      <c r="B19" s="45">
        <v>2</v>
      </c>
      <c r="C19" s="46" t="s">
        <v>29</v>
      </c>
      <c r="D19" s="46" t="s">
        <v>41</v>
      </c>
      <c r="E19" s="46" t="s">
        <v>58</v>
      </c>
      <c r="F19" s="46" t="s">
        <v>73</v>
      </c>
      <c r="G19" s="46" t="s">
        <v>88</v>
      </c>
      <c r="H19" s="46" t="s">
        <v>102</v>
      </c>
      <c r="I19" s="46" t="s">
        <v>43</v>
      </c>
      <c r="J19" s="48">
        <f t="shared" ref="J19:J25" si="16">+IF(OR(I19="BGA",I19="FP",I19="TH"),1,IF($I$4*B19&lt;100,5,0))</f>
        <v>5</v>
      </c>
      <c r="K19" s="47">
        <f t="shared" ref="K19:K25" si="17">+IF(AND(I19="",$I$4*B19&gt;100),0.05,0)</f>
        <v>0</v>
      </c>
      <c r="L19" s="48">
        <f t="shared" ref="L19:L25" si="18">+ROUNDUP($I$4*B19*K19+J19,0)</f>
        <v>5</v>
      </c>
      <c r="M19" s="41">
        <f t="shared" ref="M19:M25" si="19">+IF(OR(LEFT(G19&amp;"",1)="C",LEFT(G19&amp;"",1)="R"),ROUNDUP($I$4*B19+L19,-1),$I$4*B19+L19)</f>
        <v>60</v>
      </c>
    </row>
    <row r="20" spans="1:13" s="2" customFormat="1" ht="13.15" x14ac:dyDescent="0.35">
      <c r="A20" s="13"/>
      <c r="B20" s="45">
        <v>1</v>
      </c>
      <c r="C20" s="46" t="s">
        <v>29</v>
      </c>
      <c r="D20" s="46" t="s">
        <v>42</v>
      </c>
      <c r="E20" s="46" t="s">
        <v>59</v>
      </c>
      <c r="F20" s="46" t="s">
        <v>73</v>
      </c>
      <c r="G20" s="46" t="s">
        <v>89</v>
      </c>
      <c r="H20" s="46" t="s">
        <v>102</v>
      </c>
      <c r="I20" s="46"/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30</v>
      </c>
    </row>
    <row r="21" spans="1:13" s="2" customFormat="1" ht="13.15" x14ac:dyDescent="0.35">
      <c r="A21" s="13"/>
      <c r="B21" s="45">
        <v>2</v>
      </c>
      <c r="C21" s="46" t="s">
        <v>30</v>
      </c>
      <c r="D21" s="46" t="s">
        <v>43</v>
      </c>
      <c r="E21" s="46" t="s">
        <v>60</v>
      </c>
      <c r="F21" s="46" t="s">
        <v>73</v>
      </c>
      <c r="G21" s="46" t="s">
        <v>90</v>
      </c>
      <c r="H21" s="46" t="s">
        <v>102</v>
      </c>
      <c r="I21" s="46" t="s">
        <v>43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60</v>
      </c>
    </row>
    <row r="22" spans="1:13" s="2" customFormat="1" ht="13.15" x14ac:dyDescent="0.35">
      <c r="A22" s="13"/>
      <c r="B22" s="45">
        <v>1</v>
      </c>
      <c r="C22" s="46" t="s">
        <v>29</v>
      </c>
      <c r="D22" s="46" t="s">
        <v>44</v>
      </c>
      <c r="E22" s="46" t="s">
        <v>61</v>
      </c>
      <c r="F22" s="46" t="s">
        <v>74</v>
      </c>
      <c r="G22" s="46" t="s">
        <v>91</v>
      </c>
      <c r="H22" s="46" t="s">
        <v>103</v>
      </c>
      <c r="I22" s="46" t="s">
        <v>108</v>
      </c>
      <c r="J22" s="48">
        <f>+IF(OR(I22="BGA",I22="FP",I22="TH"),1,IF($I$4*B22&lt;100,5,0))</f>
        <v>1</v>
      </c>
      <c r="K22" s="47">
        <f>+IF(AND(I22="",$I$4*B22&gt;100),0.05,0)</f>
        <v>0</v>
      </c>
      <c r="L22" s="48">
        <f>+ROUNDUP($I$4*B22*K22+J22,0)</f>
        <v>1</v>
      </c>
      <c r="M22" s="41">
        <f>+IF(OR(LEFT(G22&amp;"",1)="C",LEFT(G22&amp;"",1)="R"),ROUNDUP($I$4*B22+L22,-1),$I$4*B22+L22)</f>
        <v>26</v>
      </c>
    </row>
    <row r="23" spans="1:13" s="2" customFormat="1" ht="13.15" x14ac:dyDescent="0.35">
      <c r="A23" s="13"/>
      <c r="B23" s="45">
        <v>1</v>
      </c>
      <c r="C23" s="46" t="s">
        <v>29</v>
      </c>
      <c r="D23" s="46" t="s">
        <v>45</v>
      </c>
      <c r="E23" s="46" t="s">
        <v>62</v>
      </c>
      <c r="F23" s="46" t="s">
        <v>75</v>
      </c>
      <c r="G23" s="46" t="s">
        <v>92</v>
      </c>
      <c r="H23" s="46" t="s">
        <v>104</v>
      </c>
      <c r="I23" s="46" t="s">
        <v>108</v>
      </c>
      <c r="J23" s="48">
        <f t="shared" ref="J23:J25" si="24">+IF(OR(I23="BGA",I23="FP",I23="TH"),1,IF($I$4*B23&lt;100,5,0))</f>
        <v>1</v>
      </c>
      <c r="K23" s="47">
        <f t="shared" ref="K23:K25" si="25">+IF(AND(I23="",$I$4*B23&gt;100),0.05,0)</f>
        <v>0</v>
      </c>
      <c r="L23" s="48">
        <f t="shared" ref="L23:L25" si="26">+ROUNDUP($I$4*B23*K23+J23,0)</f>
        <v>1</v>
      </c>
      <c r="M23" s="41">
        <f t="shared" ref="M23:M25" si="27">+IF(OR(LEFT(G23&amp;"",1)="C",LEFT(G23&amp;"",1)="R"),ROUNDUP($I$4*B23+L23,-1),$I$4*B23+L23)</f>
        <v>26</v>
      </c>
    </row>
    <row r="24" spans="1:13" s="2" customFormat="1" ht="13.15" x14ac:dyDescent="0.35">
      <c r="A24" s="13"/>
      <c r="B24" s="45">
        <v>1</v>
      </c>
      <c r="C24" s="46" t="s">
        <v>29</v>
      </c>
      <c r="D24" s="46" t="s">
        <v>46</v>
      </c>
      <c r="E24" s="46" t="s">
        <v>63</v>
      </c>
      <c r="F24" s="46" t="s">
        <v>76</v>
      </c>
      <c r="G24" s="46" t="s">
        <v>93</v>
      </c>
      <c r="H24" s="46" t="s">
        <v>105</v>
      </c>
      <c r="I24" s="46" t="s">
        <v>108</v>
      </c>
      <c r="J24" s="48">
        <f>+IF(OR(I24="BGA",I24="FP",I24="TH"),1,IF($I$4*B24&lt;100,5,0))</f>
        <v>1</v>
      </c>
      <c r="K24" s="47">
        <f>+IF(AND(I24="",$I$4*B24&gt;100),0.05,0)</f>
        <v>0</v>
      </c>
      <c r="L24" s="48">
        <f>+ROUNDUP($I$4*B24*K24+J24,0)</f>
        <v>1</v>
      </c>
      <c r="M24" s="41">
        <f>+IF(OR(LEFT(G24&amp;"",1)="C",LEFT(G24&amp;"",1)="R"),ROUNDUP($I$4*B24+L24,-1),$I$4*B24+L24)</f>
        <v>26</v>
      </c>
    </row>
    <row r="25" spans="1:13" x14ac:dyDescent="0.35">
      <c r="A25" s="13"/>
      <c r="B25" s="45">
        <v>2</v>
      </c>
      <c r="C25" s="46" t="s">
        <v>29</v>
      </c>
      <c r="D25" s="46" t="s">
        <v>47</v>
      </c>
      <c r="E25" s="46" t="s">
        <v>64</v>
      </c>
      <c r="F25" s="46" t="s">
        <v>77</v>
      </c>
      <c r="G25" s="46" t="s">
        <v>94</v>
      </c>
      <c r="H25" s="46" t="s">
        <v>106</v>
      </c>
      <c r="I25" s="46" t="s">
        <v>43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55</v>
      </c>
    </row>
    <row r="26" spans="1:13" x14ac:dyDescent="0.35">
      <c r="A26" s="14"/>
      <c r="B26" s="42">
        <f>SUM(B10:B25)</f>
        <v>24</v>
      </c>
      <c r="C26" s="43" t="s">
        <v>9</v>
      </c>
      <c r="D26" s="43"/>
      <c r="E26" s="43"/>
      <c r="F26" s="43"/>
      <c r="G26" s="44"/>
      <c r="H26" s="44"/>
      <c r="I26" s="43"/>
      <c r="J26" s="44"/>
      <c r="K26" s="44"/>
      <c r="L26" s="44"/>
      <c r="M26" s="44"/>
    </row>
    <row r="27" spans="1:13" x14ac:dyDescent="0.35">
      <c r="B27" s="1"/>
      <c r="C27" s="1"/>
    </row>
    <row r="28" spans="1:13" x14ac:dyDescent="0.35">
      <c r="B28" s="1"/>
      <c r="C28" s="1"/>
    </row>
    <row r="29" spans="1:13" x14ac:dyDescent="0.35">
      <c r="B29" s="1"/>
      <c r="C29" s="1"/>
    </row>
    <row r="30" spans="1:13" ht="17.25" x14ac:dyDescent="0.35">
      <c r="B30" s="1"/>
      <c r="C30" s="53" t="s">
        <v>8</v>
      </c>
      <c r="D30" s="54"/>
      <c r="E30" s="55"/>
      <c r="F30" s="20"/>
      <c r="G30" s="21"/>
    </row>
    <row r="31" spans="1:13" x14ac:dyDescent="0.35">
      <c r="C31" s="33" t="s">
        <v>3</v>
      </c>
      <c r="D31" s="34"/>
      <c r="E31" s="35">
        <f>COUNT(B10:B25)</f>
        <v>16</v>
      </c>
    </row>
    <row r="32" spans="1:13" x14ac:dyDescent="0.35">
      <c r="C32" s="16" t="s">
        <v>4</v>
      </c>
      <c r="D32" s="30"/>
      <c r="E32" s="28">
        <f>SUMIF($I$10:$I$25, "", $B$10:$B$25)</f>
        <v>9</v>
      </c>
    </row>
    <row r="33" spans="3:5" x14ac:dyDescent="0.35">
      <c r="C33" s="33" t="s">
        <v>5</v>
      </c>
      <c r="D33" s="34"/>
      <c r="E33" s="36">
        <f>SUMIF($I$10:$I$25, "TH", $B$10:$B$25)</f>
        <v>12</v>
      </c>
    </row>
    <row r="34" spans="3:5" x14ac:dyDescent="0.35">
      <c r="C34" s="16" t="s">
        <v>6</v>
      </c>
      <c r="D34" s="30"/>
      <c r="E34" s="28">
        <f>SUMIF($I$10:$I$25, "FP", $B$10:$B$25)</f>
        <v>0</v>
      </c>
    </row>
    <row r="35" spans="3:5" x14ac:dyDescent="0.35">
      <c r="C35" s="33" t="s">
        <v>7</v>
      </c>
      <c r="D35" s="34"/>
      <c r="E35" s="36">
        <f>SUMIF($I$10:$I$25, "BGA", $B$10:$B$25)</f>
        <v>0</v>
      </c>
    </row>
    <row r="36" spans="3:5" x14ac:dyDescent="0.35">
      <c r="C36" s="27" t="s">
        <v>16</v>
      </c>
      <c r="D36" s="31"/>
      <c r="E36" s="29">
        <f>SUMIF($I$10:$I$25, "M", $B$10:$B$25)</f>
        <v>3</v>
      </c>
    </row>
  </sheetData>
  <mergeCells count="3">
    <mergeCell ref="G4:H4"/>
    <mergeCell ref="E8:F8"/>
    <mergeCell ref="C30:E30"/>
  </mergeCells>
  <phoneticPr fontId="0" type="noConversion"/>
  <conditionalFormatting sqref="B10:L25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2025-03-17T03:33:56Z</dcterms:modified>
</cp:coreProperties>
</file>